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\\capataz.passofundo.ifsul.local\Setores\DEAP\COLIC\Geral COCAP\PROCESSOS 2025\PR 90022 2025 - Pregão Vigilância\"/>
    </mc:Choice>
  </mc:AlternateContent>
  <xr:revisionPtr revIDLastSave="0" documentId="8_{51507002-302C-4F3C-9078-0BFC9DB2CF13}" xr6:coauthVersionLast="45" xr6:coauthVersionMax="45" xr10:uidLastSave="{00000000-0000-0000-0000-000000000000}"/>
  <bookViews>
    <workbookView xWindow="-120" yWindow="-120" windowWidth="20730" windowHeight="11160" tabRatio="907" activeTab="6" xr2:uid="{88A60217-3C90-4195-A1B1-9F0963534BB6}"/>
  </bookViews>
  <sheets>
    <sheet name="VIG 12x36 NOTURNO" sheetId="9" r:id="rId1"/>
    <sheet name="VIG 12x36 DIURNO" sheetId="10" r:id="rId2"/>
    <sheet name="VIGILÂNCIA ELETRÔNICA" sheetId="31" r:id="rId3"/>
    <sheet name="INSUMOS DOS POSTOS" sheetId="29" r:id="rId4"/>
    <sheet name="Local Câmeras PDF" sheetId="36" r:id="rId5"/>
    <sheet name="Identificação Câmeras" sheetId="32" r:id="rId6"/>
    <sheet name="RESUMO" sheetId="26" r:id="rId7"/>
  </sheets>
  <definedNames>
    <definedName name="_xlnm.Print_Area" localSheetId="6">RESUMO!$A$1:$I$55</definedName>
    <definedName name="_xlnm.Print_Area" localSheetId="1">'VIG 12x36 DIURNO'!$A$1:$I$202</definedName>
    <definedName name="_xlnm.Print_Area" localSheetId="0">'VIG 12x36 NOTURNO'!$A$1:$I$203</definedName>
    <definedName name="_xlnm.Print_Area" localSheetId="2">'VIGILÂNCIA ELETRÔNICA'!$A$1:$I$119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5" i="29" l="1"/>
  <c r="C64" i="29"/>
  <c r="C67" i="29"/>
  <c r="C66" i="29"/>
  <c r="G17" i="29"/>
  <c r="I17" i="29"/>
  <c r="I48" i="29"/>
  <c r="F37" i="29"/>
  <c r="G37" i="29"/>
  <c r="I37" i="29"/>
  <c r="F36" i="29"/>
  <c r="G36" i="29"/>
  <c r="I36" i="29"/>
  <c r="F35" i="29"/>
  <c r="G35" i="29"/>
  <c r="I35" i="29"/>
  <c r="F34" i="29"/>
  <c r="G34" i="29"/>
  <c r="I34" i="29"/>
  <c r="F33" i="29"/>
  <c r="G33" i="29"/>
  <c r="I33" i="29"/>
  <c r="F32" i="29"/>
  <c r="G32" i="29"/>
  <c r="I32" i="29"/>
  <c r="F31" i="29"/>
  <c r="G31" i="29"/>
  <c r="I31" i="29"/>
  <c r="F30" i="29"/>
  <c r="G30" i="29"/>
  <c r="I30" i="29"/>
  <c r="F29" i="29"/>
  <c r="G29" i="29"/>
  <c r="I29" i="29"/>
  <c r="F28" i="29"/>
  <c r="G28" i="29"/>
  <c r="I28" i="29"/>
  <c r="F27" i="29"/>
  <c r="G27" i="29"/>
  <c r="I27" i="29"/>
  <c r="F26" i="29"/>
  <c r="G26" i="29"/>
  <c r="I26" i="29"/>
  <c r="F25" i="29"/>
  <c r="G25" i="29"/>
  <c r="I25" i="29"/>
  <c r="F24" i="29"/>
  <c r="G24" i="29"/>
  <c r="I24" i="29"/>
  <c r="I55" i="31"/>
  <c r="D37" i="26"/>
  <c r="I70" i="31"/>
  <c r="I69" i="31"/>
  <c r="I68" i="31"/>
  <c r="I67" i="31"/>
  <c r="I61" i="31"/>
  <c r="I60" i="31"/>
  <c r="I59" i="31"/>
  <c r="I58" i="31"/>
  <c r="I57" i="31"/>
  <c r="I43" i="31"/>
  <c r="I42" i="31"/>
  <c r="I41" i="31"/>
  <c r="I40" i="31"/>
  <c r="I39" i="31"/>
  <c r="I35" i="31"/>
  <c r="I29" i="31"/>
  <c r="I28" i="31"/>
  <c r="I27" i="31"/>
  <c r="I26" i="31"/>
  <c r="I56" i="31"/>
  <c r="G54" i="31"/>
  <c r="I54" i="31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79" i="31"/>
  <c r="B78" i="31"/>
  <c r="B77" i="31"/>
  <c r="B76" i="31"/>
  <c r="I66" i="31"/>
  <c r="I71" i="31"/>
  <c r="I72" i="31"/>
  <c r="I79" i="31"/>
  <c r="I25" i="31"/>
  <c r="I24" i="31"/>
  <c r="I23" i="31"/>
  <c r="I22" i="31"/>
  <c r="I21" i="31"/>
  <c r="G20" i="31"/>
  <c r="I20" i="31"/>
  <c r="I30" i="31"/>
  <c r="I31" i="31"/>
  <c r="I76" i="31"/>
  <c r="G53" i="31"/>
  <c r="I53" i="31"/>
  <c r="I38" i="31"/>
  <c r="I37" i="31"/>
  <c r="G52" i="31"/>
  <c r="I52" i="31"/>
  <c r="G51" i="31"/>
  <c r="I51" i="31"/>
  <c r="G50" i="31"/>
  <c r="I50" i="31"/>
  <c r="G49" i="31"/>
  <c r="I49" i="31"/>
  <c r="I62" i="31"/>
  <c r="I63" i="31"/>
  <c r="I78" i="31"/>
  <c r="G48" i="31"/>
  <c r="I48" i="31"/>
  <c r="T63" i="32"/>
  <c r="T64" i="32"/>
  <c r="V104" i="32"/>
  <c r="X104" i="32"/>
  <c r="W104" i="32"/>
  <c r="I36" i="31"/>
  <c r="G34" i="31"/>
  <c r="I34" i="31"/>
  <c r="I44" i="31"/>
  <c r="I45" i="31"/>
  <c r="I77" i="31"/>
  <c r="G116" i="31"/>
  <c r="H102" i="31"/>
  <c r="G9" i="29"/>
  <c r="I9" i="29"/>
  <c r="C60" i="29"/>
  <c r="C59" i="29"/>
  <c r="C58" i="29"/>
  <c r="C57" i="29"/>
  <c r="G47" i="29"/>
  <c r="I47" i="29"/>
  <c r="G8" i="29"/>
  <c r="I8" i="29"/>
  <c r="G16" i="29"/>
  <c r="I16" i="29"/>
  <c r="G7" i="29"/>
  <c r="I7" i="29"/>
  <c r="G6" i="29"/>
  <c r="I6" i="29"/>
  <c r="G5" i="29"/>
  <c r="I5" i="29"/>
  <c r="I11" i="29"/>
  <c r="G15" i="29"/>
  <c r="I15" i="29"/>
  <c r="I20" i="29"/>
  <c r="I38" i="10"/>
  <c r="I38" i="9"/>
  <c r="I89" i="9"/>
  <c r="H28" i="26"/>
  <c r="H16" i="9"/>
  <c r="H28" i="9"/>
  <c r="H31" i="9"/>
  <c r="I41" i="9"/>
  <c r="H66" i="9"/>
  <c r="H72" i="9"/>
  <c r="H119" i="9"/>
  <c r="I83" i="9"/>
  <c r="I135" i="9"/>
  <c r="H167" i="9"/>
  <c r="G188" i="9"/>
  <c r="G186" i="10"/>
  <c r="H165" i="10"/>
  <c r="I133" i="10"/>
  <c r="I81" i="10"/>
  <c r="H64" i="10"/>
  <c r="H70" i="10"/>
  <c r="H28" i="10"/>
  <c r="H30" i="10"/>
  <c r="H29" i="10"/>
  <c r="I45" i="10"/>
  <c r="I46" i="10"/>
  <c r="H16" i="10"/>
  <c r="Y104" i="32"/>
  <c r="H117" i="10"/>
  <c r="I76" i="10"/>
  <c r="I87" i="10"/>
  <c r="I78" i="9"/>
  <c r="H29" i="9"/>
  <c r="I40" i="9"/>
  <c r="I49" i="29"/>
  <c r="D58" i="29"/>
  <c r="F58" i="29"/>
  <c r="I58" i="29"/>
  <c r="J58" i="29"/>
  <c r="I141" i="9"/>
  <c r="D64" i="29"/>
  <c r="D57" i="29"/>
  <c r="I12" i="29"/>
  <c r="I21" i="29"/>
  <c r="D65" i="29"/>
  <c r="F65" i="29"/>
  <c r="I65" i="29"/>
  <c r="J65" i="29"/>
  <c r="I139" i="10"/>
  <c r="D60" i="29"/>
  <c r="F60" i="29"/>
  <c r="I60" i="29"/>
  <c r="I50" i="29"/>
  <c r="I47" i="9"/>
  <c r="I48" i="9"/>
  <c r="I80" i="31"/>
  <c r="D67" i="29"/>
  <c r="F67" i="29"/>
  <c r="I67" i="29"/>
  <c r="I39" i="29"/>
  <c r="H31" i="10"/>
  <c r="I39" i="10"/>
  <c r="H30" i="9"/>
  <c r="I39" i="9"/>
  <c r="J60" i="29"/>
  <c r="D61" i="29"/>
  <c r="F57" i="29"/>
  <c r="I57" i="29"/>
  <c r="J57" i="29"/>
  <c r="I140" i="9"/>
  <c r="E57" i="29"/>
  <c r="I40" i="10"/>
  <c r="I41" i="10"/>
  <c r="D66" i="29"/>
  <c r="F66" i="29"/>
  <c r="I66" i="29"/>
  <c r="J66" i="29"/>
  <c r="I140" i="10"/>
  <c r="I40" i="29"/>
  <c r="D59" i="29"/>
  <c r="F59" i="29"/>
  <c r="I59" i="29"/>
  <c r="J59" i="29"/>
  <c r="I142" i="9"/>
  <c r="J67" i="29"/>
  <c r="I42" i="9"/>
  <c r="I86" i="31"/>
  <c r="I110" i="31"/>
  <c r="F64" i="29"/>
  <c r="I64" i="29"/>
  <c r="J64" i="29"/>
  <c r="I138" i="10"/>
  <c r="D68" i="29"/>
  <c r="E64" i="29"/>
  <c r="I87" i="31"/>
  <c r="I43" i="10"/>
  <c r="I143" i="9"/>
  <c r="I145" i="9"/>
  <c r="I180" i="9"/>
  <c r="J61" i="29"/>
  <c r="I43" i="9"/>
  <c r="I45" i="9"/>
  <c r="J68" i="29"/>
  <c r="I141" i="10"/>
  <c r="I143" i="10"/>
  <c r="I178" i="10"/>
  <c r="I68" i="29"/>
  <c r="I61" i="29"/>
  <c r="I58" i="9"/>
  <c r="I57" i="9"/>
  <c r="I59" i="9"/>
  <c r="I97" i="9"/>
  <c r="I71" i="9"/>
  <c r="I65" i="9"/>
  <c r="I104" i="9"/>
  <c r="I108" i="9"/>
  <c r="I64" i="9"/>
  <c r="I106" i="9"/>
  <c r="I107" i="9"/>
  <c r="I119" i="9"/>
  <c r="I70" i="9"/>
  <c r="I68" i="9"/>
  <c r="I67" i="9"/>
  <c r="I66" i="9"/>
  <c r="I50" i="9"/>
  <c r="B115" i="9"/>
  <c r="I88" i="9"/>
  <c r="I91" i="9"/>
  <c r="I99" i="9"/>
  <c r="I88" i="31"/>
  <c r="I89" i="31"/>
  <c r="I104" i="10"/>
  <c r="I105" i="10"/>
  <c r="I55" i="10"/>
  <c r="I57" i="10"/>
  <c r="I95" i="10"/>
  <c r="I66" i="10"/>
  <c r="I56" i="10"/>
  <c r="I106" i="10"/>
  <c r="I48" i="10"/>
  <c r="I64" i="10"/>
  <c r="I86" i="10"/>
  <c r="I89" i="10"/>
  <c r="I97" i="10"/>
  <c r="B113" i="10"/>
  <c r="I176" i="9"/>
  <c r="I117" i="10"/>
  <c r="I62" i="10"/>
  <c r="I90" i="31"/>
  <c r="I72" i="9"/>
  <c r="I98" i="9"/>
  <c r="I100" i="9"/>
  <c r="I67" i="10"/>
  <c r="I69" i="10"/>
  <c r="I65" i="10"/>
  <c r="I69" i="9"/>
  <c r="I174" i="10"/>
  <c r="I105" i="9"/>
  <c r="I109" i="9"/>
  <c r="I102" i="10"/>
  <c r="I63" i="10"/>
  <c r="I68" i="10"/>
  <c r="E115" i="9"/>
  <c r="I177" i="9"/>
  <c r="I178" i="9"/>
  <c r="H115" i="9"/>
  <c r="I123" i="9"/>
  <c r="I93" i="31"/>
  <c r="I94" i="31"/>
  <c r="I99" i="31"/>
  <c r="I103" i="10"/>
  <c r="I107" i="10"/>
  <c r="I70" i="10"/>
  <c r="I96" i="10"/>
  <c r="I98" i="10"/>
  <c r="I102" i="31"/>
  <c r="I100" i="31"/>
  <c r="I111" i="31"/>
  <c r="E113" i="10"/>
  <c r="I113" i="10"/>
  <c r="I175" i="10"/>
  <c r="I176" i="10"/>
  <c r="H113" i="10"/>
  <c r="I121" i="10"/>
  <c r="I115" i="9"/>
  <c r="I121" i="9"/>
  <c r="I124" i="9"/>
  <c r="I120" i="9"/>
  <c r="I125" i="9"/>
  <c r="I134" i="9"/>
  <c r="I136" i="9"/>
  <c r="I122" i="9"/>
  <c r="I122" i="10"/>
  <c r="I118" i="10"/>
  <c r="I119" i="10"/>
  <c r="I120" i="10"/>
  <c r="G114" i="31"/>
  <c r="I112" i="31"/>
  <c r="I179" i="9"/>
  <c r="I181" i="9"/>
  <c r="I151" i="9"/>
  <c r="I123" i="10"/>
  <c r="I132" i="10"/>
  <c r="I134" i="10"/>
  <c r="G118" i="31"/>
  <c r="H20" i="26"/>
  <c r="I177" i="10"/>
  <c r="I179" i="10"/>
  <c r="I149" i="10"/>
  <c r="I150" i="10"/>
  <c r="I151" i="10"/>
  <c r="I152" i="10"/>
  <c r="I152" i="9"/>
  <c r="I153" i="9"/>
  <c r="I154" i="9"/>
  <c r="I153" i="10"/>
  <c r="I157" i="10"/>
  <c r="I162" i="10"/>
  <c r="I156" i="10"/>
  <c r="I155" i="9"/>
  <c r="I164" i="9"/>
  <c r="I158" i="9"/>
  <c r="I159" i="9"/>
  <c r="I165" i="10"/>
  <c r="I163" i="10"/>
  <c r="I180" i="10"/>
  <c r="I181" i="10"/>
  <c r="G184" i="10"/>
  <c r="G188" i="10"/>
  <c r="E19" i="26"/>
  <c r="H19" i="26"/>
  <c r="I167" i="9"/>
  <c r="I165" i="9"/>
  <c r="I182" i="9"/>
  <c r="I183" i="9"/>
  <c r="G186" i="9"/>
  <c r="G190" i="9"/>
  <c r="E18" i="26"/>
  <c r="H18" i="26"/>
  <c r="H22" i="26"/>
  <c r="H26" i="26"/>
  <c r="H30" i="26"/>
</calcChain>
</file>

<file path=xl/sharedStrings.xml><?xml version="1.0" encoding="utf-8"?>
<sst xmlns="http://schemas.openxmlformats.org/spreadsheetml/2006/main" count="1209" uniqueCount="472">
  <si>
    <r>
      <rPr>
        <b/>
        <sz val="10"/>
        <rFont val="Arial"/>
        <family val="2"/>
      </rPr>
      <t xml:space="preserve"> c) IRPJ</t>
    </r>
    <r>
      <rPr>
        <b/>
        <sz val="10"/>
        <color indexed="12"/>
        <rFont val="Arial"/>
        <family val="2"/>
      </rPr>
      <t xml:space="preserve"> </t>
    </r>
    <r>
      <rPr>
        <b/>
        <sz val="10"/>
        <color indexed="39"/>
        <rFont val="Arial"/>
        <family val="2"/>
      </rPr>
      <t>-</t>
    </r>
    <r>
      <rPr>
        <b/>
        <sz val="9"/>
        <color indexed="39"/>
        <rFont val="Arial"/>
        <family val="2"/>
      </rPr>
      <t xml:space="preserve">  Em face dos Acórdãos TCU nºs 950/2007-P e 205/2018-P, o licitante não pode cotar expressamente este tributo.</t>
    </r>
  </si>
  <si>
    <r>
      <rPr>
        <b/>
        <sz val="10"/>
        <rFont val="Arial"/>
        <family val="2"/>
      </rPr>
      <t xml:space="preserve"> d) CSLL </t>
    </r>
    <r>
      <rPr>
        <b/>
        <sz val="10"/>
        <color indexed="39"/>
        <rFont val="Arial"/>
        <family val="2"/>
      </rPr>
      <t xml:space="preserve">- </t>
    </r>
    <r>
      <rPr>
        <b/>
        <sz val="9"/>
        <color indexed="39"/>
        <rFont val="Arial"/>
        <family val="2"/>
      </rPr>
      <t xml:space="preserve"> Em face dos Acórdãos TCU nºs 950/2007-P e 205/2018-P, o licitante não pode cotar expressamente este tributo.</t>
    </r>
  </si>
  <si>
    <t xml:space="preserve">Remuneração 1 = Total da Remuneração de verbas de natureza salarial nas quais incidem INSS + FGTS + Férias + 13º, etc.   </t>
  </si>
  <si>
    <r>
      <rPr>
        <b/>
        <sz val="14"/>
        <rFont val="Arial"/>
        <family val="2"/>
      </rPr>
      <t xml:space="preserve">Remuneração 2 = Total da Remuneração que o empregado irá receber- </t>
    </r>
    <r>
      <rPr>
        <b/>
        <sz val="11"/>
        <color indexed="12"/>
        <rFont val="Arial"/>
        <family val="2"/>
      </rPr>
      <t>Valor entra nos seguintes cálculos: Item 2, "A" - Quadro-Resumo do Custo por Posto de Trabalho, Custos Indiretos, Lucro e Tributos.</t>
    </r>
  </si>
  <si>
    <r>
      <rPr>
        <b/>
        <sz val="11"/>
        <color indexed="8"/>
        <rFont val="Arial"/>
        <family val="2"/>
      </rPr>
      <t xml:space="preserve">Submódulo 2.1 – 13º (décimo terceiro) Salário </t>
    </r>
    <r>
      <rPr>
        <b/>
        <strike/>
        <sz val="11"/>
        <color indexed="25"/>
        <rFont val="Arial"/>
        <family val="2"/>
      </rPr>
      <t>(Férias???)</t>
    </r>
    <r>
      <rPr>
        <b/>
        <sz val="11"/>
        <color indexed="19"/>
        <rFont val="Arial"/>
        <family val="2"/>
      </rPr>
      <t xml:space="preserve"> </t>
    </r>
    <r>
      <rPr>
        <b/>
        <sz val="11"/>
        <color indexed="8"/>
        <rFont val="Arial"/>
        <family val="2"/>
      </rPr>
      <t>e Adicional de Férias</t>
    </r>
  </si>
  <si>
    <r>
      <rPr>
        <b/>
        <sz val="11"/>
        <color indexed="8"/>
        <rFont val="Arial"/>
        <family val="2"/>
      </rPr>
      <t xml:space="preserve">13º (décimo terceiro) Salário </t>
    </r>
    <r>
      <rPr>
        <b/>
        <strike/>
        <sz val="10"/>
        <color indexed="25"/>
        <rFont val="Arial"/>
        <family val="2"/>
      </rPr>
      <t>(Férias???)</t>
    </r>
    <r>
      <rPr>
        <b/>
        <strike/>
        <sz val="11"/>
        <color indexed="25"/>
        <rFont val="Arial"/>
        <family val="2"/>
      </rPr>
      <t xml:space="preserve"> </t>
    </r>
    <r>
      <rPr>
        <b/>
        <sz val="11"/>
        <color indexed="8"/>
        <rFont val="Arial"/>
        <family val="2"/>
      </rPr>
      <t>e Adicional de Férias</t>
    </r>
  </si>
  <si>
    <r>
      <rPr>
        <b/>
        <sz val="10"/>
        <color indexed="8"/>
        <rFont val="Arial"/>
        <family val="2"/>
      </rPr>
      <t>13º (décimo terceiro) Salário</t>
    </r>
    <r>
      <rPr>
        <b/>
        <sz val="11"/>
        <color indexed="8"/>
        <rFont val="Arial"/>
        <family val="2"/>
      </rPr>
      <t xml:space="preserve"> </t>
    </r>
    <r>
      <rPr>
        <b/>
        <sz val="8"/>
        <color indexed="10"/>
        <rFont val="Arial"/>
        <family val="2"/>
      </rPr>
      <t>Obrigatória a cotação de 8,33% sobre o valor do Módulo 1 – Composição da Remuneração1, conforme Anexo XII da IN 5/17</t>
    </r>
  </si>
  <si>
    <r>
      <rPr>
        <b/>
        <sz val="10"/>
        <color indexed="8"/>
        <rFont val="Arial"/>
        <family val="2"/>
        <charset val="1"/>
      </rPr>
      <t xml:space="preserve">13º (décimo terceiro) Salário </t>
    </r>
    <r>
      <rPr>
        <b/>
        <strike/>
        <sz val="10"/>
        <color indexed="25"/>
        <rFont val="Arial"/>
        <family val="2"/>
      </rPr>
      <t>(Férias???)</t>
    </r>
    <r>
      <rPr>
        <b/>
        <sz val="10"/>
        <color indexed="38"/>
        <rFont val="Arial"/>
        <family val="2"/>
      </rPr>
      <t xml:space="preserve"> </t>
    </r>
    <r>
      <rPr>
        <b/>
        <sz val="10"/>
        <color indexed="8"/>
        <rFont val="Arial"/>
        <family val="2"/>
      </rPr>
      <t>e Adicional de Férias</t>
    </r>
  </si>
  <si>
    <r>
      <t>Multa do FGTS sobre o Aviso PrévioTrabalhado e Aviso Prévio Indenizado</t>
    </r>
    <r>
      <rPr>
        <b/>
        <sz val="8"/>
        <color indexed="10"/>
        <rFont val="Arial"/>
        <family val="2"/>
      </rPr>
      <t xml:space="preserve">Obrigatória a cotação de 4% sobre o valor do Módulo 1 – Composição da Remuneração1, conforme Anexo XII da IN Seges nº 5/2017 </t>
    </r>
  </si>
  <si>
    <t>Submódulo 4.1 – Substituto nas Ausências Legais</t>
  </si>
  <si>
    <t>Nº do processo:</t>
  </si>
  <si>
    <t>Licitação nº: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</si>
  <si>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</si>
  <si>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</si>
  <si>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</si>
  <si>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</si>
  <si>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</si>
  <si>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</si>
  <si>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Ano do Acordo, Convenção ou Dissídio coletivo</t>
  </si>
  <si>
    <t>D</t>
  </si>
  <si>
    <t>IDENTIFICAÇÃO DO SERVIÇO</t>
  </si>
  <si>
    <t>Unidade
 de 
Medida</t>
  </si>
  <si>
    <t xml:space="preserve">Quantidade total a contratar (Em função da unidade de medida) </t>
  </si>
  <si>
    <t>posto</t>
  </si>
  <si>
    <t>-</t>
  </si>
  <si>
    <t>12  x 36 horas diurnas - de segunda-feira a domingo</t>
  </si>
  <si>
    <t>12 x 36 horas noturnas - de segunda-feira a domingo</t>
  </si>
  <si>
    <t>TOTAL DE POSTOS</t>
  </si>
  <si>
    <t>Nota 1: Esta tabela poderá ser adaptada às características do serviço contratado, inclusive no que concerne às rubricas e suas respectivas provisões e/ou estimativas, desde que haja justificativa.
Nota 2: As provisões constantes desta planilha poderão  ser desnecessárias quando se tratar de determinados serviços que prescindam da dedicação exclusiva dos trabalhadores da contratada para com a Administração.</t>
  </si>
  <si>
    <r>
      <rPr>
        <b/>
        <sz val="15"/>
        <rFont val="Arial"/>
        <family val="2"/>
      </rPr>
      <t xml:space="preserve">1. MÓDULOS 
</t>
    </r>
    <r>
      <rPr>
        <b/>
        <sz val="12"/>
        <color indexed="8"/>
        <rFont val="Arial"/>
        <family val="2"/>
      </rPr>
      <t xml:space="preserve">Mão de obra
</t>
    </r>
    <r>
      <rPr>
        <b/>
        <sz val="11"/>
        <color indexed="8"/>
        <rFont val="Arial"/>
        <family val="2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</si>
  <si>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</si>
  <si>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</si>
  <si>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 xml:space="preserve">Vigilância e Segurança Armada </t>
  </si>
  <si>
    <t>Classificação Brasileira de Ocupações (CBO)</t>
  </si>
  <si>
    <t>5173-30</t>
  </si>
  <si>
    <t>Salário Normativo da Categoria Profissional</t>
  </si>
  <si>
    <t xml:space="preserve">Categoria Profissional (vinculada à execução contratual) </t>
  </si>
  <si>
    <t>vigilante</t>
  </si>
  <si>
    <t xml:space="preserve">Data-Base da Categoria (dia/mês/ano) </t>
  </si>
  <si>
    <r>
      <rPr>
        <b/>
        <sz val="10"/>
        <color indexed="10"/>
        <rFont val="Arial"/>
        <family val="2"/>
      </rPr>
      <t xml:space="preserve">Valor do salárioxhora sem periculosidade - 
</t>
    </r>
    <r>
      <rPr>
        <b/>
        <sz val="10"/>
        <color indexed="12"/>
        <rFont val="Arial"/>
        <family val="2"/>
      </rPr>
      <t>VSH (s/peri) = (Valor do salário normativo / 220 h)</t>
    </r>
  </si>
  <si>
    <r>
      <rPr>
        <b/>
        <sz val="10"/>
        <color indexed="10"/>
        <rFont val="Arial"/>
        <family val="2"/>
      </rPr>
      <t xml:space="preserve">Valor da hora extra sem periculosidade com 50% 
</t>
    </r>
    <r>
      <rPr>
        <b/>
        <sz val="10"/>
        <color indexed="12"/>
        <rFont val="Arial"/>
        <family val="2"/>
      </rPr>
      <t>HE (s/peri) = valor da hora + 50%</t>
    </r>
  </si>
  <si>
    <r>
      <rPr>
        <b/>
        <sz val="10"/>
        <color indexed="10"/>
        <rFont val="Arial"/>
        <family val="2"/>
      </rPr>
      <t xml:space="preserve">Valor da hora do adicional noturno sem periculosidade
</t>
    </r>
    <r>
      <rPr>
        <b/>
        <sz val="10"/>
        <color indexed="12"/>
        <rFont val="Arial"/>
        <family val="2"/>
      </rPr>
      <t>AN (s/peri) =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12"/>
        <rFont val="Arial"/>
        <family val="2"/>
      </rPr>
      <t>valor da hora x 20%</t>
    </r>
  </si>
  <si>
    <t>Adicional de troca de uniforme sem periculosidade</t>
  </si>
  <si>
    <t>Quantidade de vigilantes por posto de serviço</t>
  </si>
  <si>
    <t>Nota 1:  Deverá ser elaborado um quadro para cada tipo de serviço.
Nota 2: A planilha será calculada considerando o valor mensal do empregado</t>
  </si>
  <si>
    <t>Módulo 1: Composição da Remuneração (por Posto)</t>
  </si>
  <si>
    <t>Composição da Remuneração (por Posto)</t>
  </si>
  <si>
    <t>Percentual (%)</t>
  </si>
  <si>
    <t xml:space="preserve">Valor 
(R$) </t>
  </si>
  <si>
    <t>E</t>
  </si>
  <si>
    <t>F</t>
  </si>
  <si>
    <t>G</t>
  </si>
  <si>
    <t xml:space="preserve">Outros (especificar)                      </t>
  </si>
  <si>
    <t>H</t>
  </si>
  <si>
    <t>Nota1:  O Módulo 1 refere-se ao valor mensal devido ao empregado pela prestação do serviço no período de 12 meses.</t>
  </si>
  <si>
    <t>Módulo 2 : Encargos e Benefícios Anuais, Mensais e Diários</t>
  </si>
  <si>
    <t>2.1</t>
  </si>
  <si>
    <t>Valor (R$)</t>
  </si>
  <si>
    <t>Total</t>
  </si>
  <si>
    <t>2.2</t>
  </si>
  <si>
    <t>GPS, FGTS e outras contribuições</t>
  </si>
  <si>
    <t>Valor
 (R$)</t>
  </si>
  <si>
    <t xml:space="preserve">INSS                                                                                                </t>
  </si>
  <si>
    <t xml:space="preserve">Salário Educação                                                                                            </t>
  </si>
  <si>
    <t>RAT =</t>
  </si>
  <si>
    <t xml:space="preserve"> FAP =</t>
  </si>
  <si>
    <t xml:space="preserve">SESC ou SESI                                                                                                 </t>
  </si>
  <si>
    <t xml:space="preserve">SENAC ou SENAI                                                                                           </t>
  </si>
  <si>
    <t xml:space="preserve">SEBRAE                                                                                                              </t>
  </si>
  <si>
    <t xml:space="preserve">INCRA                                                                                                                  </t>
  </si>
  <si>
    <t xml:space="preserve">FGTS                                                                                                                 </t>
  </si>
  <si>
    <t>Nota 1: Os percentuais dos encargos previdenciários, do FGTS e demais contribuições são aqueles estabelecidos pela legislação vigente.
Nota 2: O SAT a depender do grau de risco do serviço irá variar entre 1%, para risco leve, de 2% para risco médio, e de 3% para risco grave.
Nota 3: Esses percentuais incidem sobre o Módulo 1, o Submódulo 2.1.</t>
  </si>
  <si>
    <t>Submódulo 2.3 – Benefícios Mensais e Diários</t>
  </si>
  <si>
    <t>2.3</t>
  </si>
  <si>
    <t>Benefícios Mensais e Diários</t>
  </si>
  <si>
    <r>
      <rPr>
        <b/>
        <sz val="10"/>
        <rFont val="Arial"/>
        <family val="2"/>
      </rPr>
      <t xml:space="preserve">Transporte                                                          </t>
    </r>
    <r>
      <rPr>
        <b/>
        <sz val="10"/>
        <color indexed="10"/>
        <rFont val="Arial"/>
        <family val="2"/>
      </rPr>
      <t>Cálculo do valor: [(2xVTx30) – (6%xSB)]</t>
    </r>
  </si>
  <si>
    <r>
      <rPr>
        <b/>
        <sz val="10"/>
        <rFont val="Arial"/>
        <family val="2"/>
      </rPr>
      <t xml:space="preserve">     </t>
    </r>
    <r>
      <rPr>
        <b/>
        <sz val="10"/>
        <color indexed="10"/>
        <rFont val="Arial"/>
        <family val="2"/>
      </rPr>
      <t>A.2) Quantidade de passagens por dia por empregado</t>
    </r>
  </si>
  <si>
    <t xml:space="preserve">     A.3) Quantidade de dias do mês de recebimento de passagens</t>
  </si>
  <si>
    <r>
      <rPr>
        <b/>
        <sz val="10"/>
        <rFont val="Arial"/>
        <family val="2"/>
      </rPr>
      <t xml:space="preserve">Auxílio-Refeição/Alimentação  </t>
    </r>
    <r>
      <rPr>
        <b/>
        <sz val="10"/>
        <color indexed="10"/>
        <rFont val="Arial"/>
        <family val="2"/>
      </rPr>
      <t>Cálculo do valor = [(30xVA)x(1-0,20)]</t>
    </r>
  </si>
  <si>
    <r>
      <rPr>
        <b/>
        <sz val="10"/>
        <rFont val="Arial"/>
        <family val="2"/>
      </rPr>
      <t xml:space="preserve">     </t>
    </r>
    <r>
      <rPr>
        <b/>
        <sz val="10"/>
        <color indexed="10"/>
        <rFont val="Arial"/>
        <family val="2"/>
      </rPr>
      <t>B.2) Quantidade de dias do mês de recebimento de auxílio-alimentação</t>
    </r>
  </si>
  <si>
    <t>Assistência Médica e Familiar</t>
  </si>
  <si>
    <t>Outros (especificar)</t>
  </si>
  <si>
    <t>Nota 1: o valor informado deverá ser o custo real do insumo (descontado o valor eventualmente pago pelo empregado).
Nota 2: Observar a previsão dos benefícios contidos em Acordos, Convenções e Dissídios Coletivos de Trabalho e atentar-se ao disposto no artigo 6º desta Instrução Normativa.</t>
  </si>
  <si>
    <t>Quadro-Resumo do Módulo 2 – Encargos e Benefícios Anuais, Mensais e Diários</t>
  </si>
  <si>
    <t>Encargos e Benefícios Anuais, Mensais e Diários</t>
  </si>
  <si>
    <t>Módulo 3 - Provisão para Rescisão</t>
  </si>
  <si>
    <t>Provisão para Rescisão</t>
  </si>
  <si>
    <t>Incidência do FGTS sobre o Aviso Prévio Indenizado</t>
  </si>
  <si>
    <t>Incidência de GPS, FGTS e outras contribuições sobre o Aviso Prévio Trabalhado</t>
  </si>
  <si>
    <t>TOTAL</t>
  </si>
  <si>
    <t>Módulo 4 - Custo de Reposição do Profissional Ausente</t>
  </si>
  <si>
    <t xml:space="preserve">Nota 1: Os itens que contemplam o módulo 4 se referem ao custo dos dias trabalhados pelo repositor/substituto quando o empregado alocado na prestação do serviço estiver ausente, conforme as previsões estabelecidas na legislação. </t>
  </si>
  <si>
    <t>MÓD 1                 (= a Rem1)=</t>
  </si>
  <si>
    <t>MÓD 3 =</t>
  </si>
  <si>
    <t>4.1</t>
  </si>
  <si>
    <t>Substituto nas Ausências Legais</t>
  </si>
  <si>
    <t>Submódulo 4.2 – Substituto na Intrajornada</t>
  </si>
  <si>
    <t xml:space="preserve">4.2 </t>
  </si>
  <si>
    <t>Substituto na Intrajornada</t>
  </si>
  <si>
    <t>Substituto na cobertura de Intervalo para repouso ou alimentação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</si>
  <si>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</si>
  <si>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</si>
  <si>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</si>
  <si>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</si>
  <si>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</si>
  <si>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Total </t>
  </si>
  <si>
    <t>Nota: Valores mensais por empregado</t>
  </si>
  <si>
    <t>Módulo 6 - Custos Indiretos, Lucro e Tributos</t>
  </si>
  <si>
    <t xml:space="preserve">Custos Indiretos, Lucro e Tributos </t>
  </si>
  <si>
    <t>BASE DE CÁLCULO DOS CUSTOS INDIRETOS  = 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Diversos)</t>
  </si>
  <si>
    <t>Custos Indiretos</t>
  </si>
  <si>
    <t>BASE DE CÁLCULO DO LUCRO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Indiretos)</t>
  </si>
  <si>
    <t>Lucro</t>
  </si>
  <si>
    <t>BASE DE CÁLCULO DOS TRIBUTOS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 + Lucro)</t>
  </si>
  <si>
    <t>Tributos</t>
  </si>
  <si>
    <t>C.1    Tributos federais (especificar)</t>
  </si>
  <si>
    <r>
      <rPr>
        <sz val="10"/>
        <rFont val="Arial"/>
        <family val="2"/>
      </rPr>
      <t xml:space="preserve">  </t>
    </r>
    <r>
      <rPr>
        <b/>
        <sz val="10"/>
        <rFont val="Arial"/>
        <family val="2"/>
      </rPr>
      <t xml:space="preserve">a) Cofins </t>
    </r>
    <r>
      <rPr>
        <sz val="8.5"/>
        <color indexed="10"/>
        <rFont val="Arial"/>
        <family val="2"/>
      </rPr>
      <t>(depende do regime de tributação - utilizada a hipótese de Lucro Real ou Presumido)</t>
    </r>
  </si>
  <si>
    <r>
      <rPr>
        <sz val="10"/>
        <rFont val="Arial"/>
        <family val="2"/>
      </rPr>
      <t xml:space="preserve">  </t>
    </r>
    <r>
      <rPr>
        <b/>
        <sz val="10"/>
        <rFont val="Arial"/>
        <family val="2"/>
      </rPr>
      <t xml:space="preserve">b) PIS       </t>
    </r>
    <r>
      <rPr>
        <sz val="9"/>
        <color indexed="10"/>
        <rFont val="Arial"/>
        <family val="2"/>
      </rPr>
      <t>(depende do regime de tributação - utilizada a hipótese de Lucro Real ou Presumido)</t>
    </r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</si>
  <si>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</si>
  <si>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</si>
  <si>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</si>
  <si>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</si>
  <si>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</si>
  <si>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</si>
  <si>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1 - (Total de Tributos em % dividido por 100)</t>
  </si>
  <si>
    <t>Nota 1: Custos Indiretos, Lucro e Tributos por empregado.
Nota 2: O valor referente a tributos é obtido aplicando-se o percentual sobre o valor do faturamento.</t>
  </si>
  <si>
    <t>Mão de obra vinculada à execução contratual (valor por Posto de Trabalho)</t>
  </si>
  <si>
    <t>Módulo 1 - Composição da Remuneração2</t>
  </si>
  <si>
    <t>Módulo 2 – Encargos e Benefícios Anuais, Mensais e Diários</t>
  </si>
  <si>
    <t>Módulo 3 – Provisão para Rescisão</t>
  </si>
  <si>
    <t>Módulo 4 – Custo de Reposição do Profissional Ausente</t>
  </si>
  <si>
    <t>Subtotal (A + B + C + D + E)</t>
  </si>
  <si>
    <t>Valor Total por Posto</t>
  </si>
  <si>
    <t xml:space="preserve">O complemento abaixo é uma planilha auxiliar que consolida as várias planilhas com os diferentes tipos de postos </t>
  </si>
  <si>
    <t>3.  COMPLEMENTO DOS SERVIÇOS DE VIGILÂNCIA – VALOR MENSAL DOS SERVIÇOS</t>
  </si>
  <si>
    <t>ESCALA DE TRABALHO</t>
  </si>
  <si>
    <t>PREÇO MENSAL DO POSTO  
(R$)</t>
  </si>
  <si>
    <t>NÚMERO DE POSTOS</t>
  </si>
  <si>
    <t>SUBTOTAL
(R$)</t>
  </si>
  <si>
    <t xml:space="preserve">12 horas diurnas, de segunda-feira a domingo, envolvendo 2 (dois) vigilantes em turnos de  12 (doze) por 36 (trinta e seis) horas </t>
  </si>
  <si>
    <t xml:space="preserve">12 horas noturnas, de segunda-feira a domingo, envolvendo 2 (dois) vigilantes em turnos de  12 (doze) por 36 (trinta e seis) horas </t>
  </si>
  <si>
    <t>TOTAL:</t>
  </si>
  <si>
    <t xml:space="preserve">Nota: Nos casos de inclusão de outros tipos de postos, observar o disposto no item 4 do Anexo VI-A, desta Instrução Normativa </t>
  </si>
  <si>
    <t>Valor mensal do serviço</t>
  </si>
  <si>
    <t>Número de meses do contrato</t>
  </si>
  <si>
    <r>
      <rPr>
        <b/>
        <sz val="14"/>
        <rFont val="Arial"/>
        <family val="2"/>
      </rPr>
      <t xml:space="preserve">Valor global da proposta </t>
    </r>
    <r>
      <rPr>
        <b/>
        <sz val="10"/>
        <rFont val="Arial"/>
        <family val="2"/>
      </rPr>
      <t>(valor mensal do serviço x nº de meses do contrato)</t>
    </r>
  </si>
  <si>
    <t>Tipo de Mão de Obra</t>
  </si>
  <si>
    <t>Quantidade de Pessoal</t>
  </si>
  <si>
    <t>Vigilante</t>
  </si>
  <si>
    <t>Especificação dos Materiais/Máquinas/Equipamentos</t>
  </si>
  <si>
    <t xml:space="preserve">Quantidade </t>
  </si>
  <si>
    <r>
      <rPr>
        <b/>
        <sz val="12"/>
        <rFont val="Arial"/>
        <family val="2"/>
      </rPr>
      <t xml:space="preserve">
</t>
    </r>
    <r>
      <rPr>
        <b/>
        <sz val="11"/>
        <rFont val="Arial"/>
        <family val="2"/>
      </rPr>
      <t xml:space="preserve">2. QUADRO-RESUMO DO CUSTO POR POSTO DE TRABALHO
</t>
    </r>
  </si>
  <si>
    <r>
      <t xml:space="preserve">Substituto na cobertura de Férias  </t>
    </r>
    <r>
      <rPr>
        <b/>
        <sz val="10"/>
        <color indexed="10"/>
        <rFont val="Arial"/>
        <family val="2"/>
      </rPr>
      <t xml:space="preserve">Obrigatória a cotação de 9,075% sobre o valor do Módulo 1 - Composição da Remuneração, </t>
    </r>
    <r>
      <rPr>
        <b/>
        <sz val="10"/>
        <color indexed="30"/>
        <rFont val="Arial"/>
        <family val="2"/>
      </rPr>
      <t xml:space="preserve">mais </t>
    </r>
    <r>
      <rPr>
        <b/>
        <sz val="10"/>
        <color indexed="10"/>
        <rFont val="Arial"/>
        <family val="2"/>
      </rPr>
      <t>o percentual do Submódulo 2.2 sobre o cálculo anterior, conforme Anexo XII da IN 5/17 (Férias + Adicional = 12,10% = 9,075% + 3,025%)</t>
    </r>
  </si>
  <si>
    <t xml:space="preserve">Módulo 5 - Insumos Diversos </t>
  </si>
  <si>
    <r>
      <t xml:space="preserve">MÓD 2  </t>
    </r>
    <r>
      <rPr>
        <b/>
        <sz val="10"/>
        <color indexed="10"/>
        <rFont val="Arial"/>
        <family val="2"/>
      </rPr>
      <t>(sem VA e VT)</t>
    </r>
    <r>
      <rPr>
        <b/>
        <sz val="11"/>
        <color indexed="12"/>
        <rFont val="Arial"/>
        <family val="2"/>
      </rPr>
      <t xml:space="preserve"> +Férias =</t>
    </r>
  </si>
  <si>
    <r>
      <t xml:space="preserve">RAT x FAP 
</t>
    </r>
    <r>
      <rPr>
        <b/>
        <sz val="7"/>
        <color indexed="10"/>
        <rFont val="Arial"/>
        <family val="2"/>
      </rPr>
      <t>Cálculo do valor: % do RAT (Riscos Ambientais do Trabalho) x FAP (Fator Acidentário de Prevenção de cada empresa)</t>
    </r>
  </si>
  <si>
    <r>
      <rPr>
        <b/>
        <sz val="12"/>
        <color indexed="8"/>
        <rFont val="Arial"/>
        <family val="2"/>
      </rPr>
      <t xml:space="preserve">Substituto na cobertura de Licença-Paternidade
</t>
    </r>
    <r>
      <rPr>
        <b/>
        <sz val="10"/>
        <color indexed="10"/>
        <rFont val="Arial"/>
        <family val="2"/>
      </rPr>
      <t>Cálculo do valor = {[(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/30)x5dias]/12}x1,5%</t>
    </r>
  </si>
  <si>
    <r>
      <rPr>
        <b/>
        <sz val="12"/>
        <color indexed="8"/>
        <rFont val="Arial"/>
        <family val="2"/>
      </rPr>
      <t xml:space="preserve">Substituto na cobertura de Afastamento Maternidade
</t>
    </r>
    <r>
      <rPr>
        <b/>
        <sz val="8"/>
        <color indexed="10"/>
        <rFont val="Arial"/>
        <family val="2"/>
      </rPr>
      <t>Cálculo do valor = [((Férias + Férias / 3) + SUB2.2 x (Férias + Férias / 3)) x (4/12)] x 2% + [( FGTS x Rem + SUB 2.2 x 13º</t>
    </r>
    <r>
      <rPr>
        <b/>
        <sz val="8"/>
        <color indexed="39"/>
        <rFont val="Arial"/>
        <family val="2"/>
      </rPr>
      <t xml:space="preserve"> </t>
    </r>
    <r>
      <rPr>
        <b/>
        <sz val="8"/>
        <color indexed="10"/>
        <rFont val="Arial"/>
        <family val="2"/>
      </rPr>
      <t xml:space="preserve">+ SUB2.3 – VA – VT + MÓD3) x (4/12)] } x 2%     
</t>
    </r>
    <r>
      <rPr>
        <b/>
        <sz val="8"/>
        <color indexed="12"/>
        <rFont val="Arial"/>
        <family val="2"/>
      </rPr>
      <t>Não incide Contribuição Previdenciária Patronal (INSS + 3ªs entidades) sobre a Remuneração da empregada residente nos 4 meses de Afastamento, conforme Solução de Consulta Cosit/RFB nº 27/2023, públicada na pág. 20 da Seção 1 do DOU de 09/02/2023. A Remuneração e o 13º da empregada residente poderão ser compensados, por isso não constam da fórmula.</t>
    </r>
  </si>
  <si>
    <r>
      <rPr>
        <b/>
        <sz val="12"/>
        <color indexed="8"/>
        <rFont val="Arial"/>
        <family val="2"/>
      </rPr>
      <t xml:space="preserve">Substituto na cobertura de Ausências Legais 
</t>
    </r>
    <r>
      <rPr>
        <b/>
        <sz val="10"/>
        <color indexed="10"/>
        <rFont val="Arial"/>
        <family val="2"/>
      </rPr>
      <t>Cálculo do valor = 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/30)x1dia]/12</t>
    </r>
  </si>
  <si>
    <r>
      <t>Substituto na cobertura de Ausência por doença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12"/>
        <rFont val="Arial"/>
        <family val="2"/>
      </rPr>
      <t xml:space="preserve">
</t>
    </r>
    <r>
      <rPr>
        <b/>
        <sz val="10"/>
        <color indexed="10"/>
        <rFont val="Arial"/>
        <family val="2"/>
      </rPr>
      <t>Cálculo do valor = 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 xml:space="preserve">)/30)x3dias]/12 </t>
    </r>
    <r>
      <rPr>
        <b/>
        <sz val="8"/>
        <color indexed="12"/>
        <rFont val="Arial"/>
        <family val="2"/>
      </rPr>
      <t xml:space="preserve"> Incluído por permissão da IN Seges nº 5/2017, Anexo VII-B, item 1.7, alíneas "b" e "c".5.</t>
    </r>
  </si>
  <si>
    <r>
      <rPr>
        <b/>
        <sz val="12"/>
        <rFont val="Arial"/>
        <family val="2"/>
      </rPr>
      <t xml:space="preserve">Substituto na cobertura de Ausência por acidente de trabalho
</t>
    </r>
    <r>
      <rPr>
        <b/>
        <sz val="8"/>
        <color indexed="10"/>
        <rFont val="Arial"/>
        <family val="2"/>
      </rPr>
      <t>Cálculo do valor = [(BCCPA)/30x0,69dias]/12</t>
    </r>
  </si>
  <si>
    <r>
      <t xml:space="preserve">Submódulo 2.2 - Encargos Previdenciários (GPS), Fundo de Garantia por Tempo de Serviço (FGTS) e outras contribuições  </t>
    </r>
    <r>
      <rPr>
        <b/>
        <sz val="11"/>
        <color indexed="12"/>
        <rFont val="Arial"/>
        <family val="2"/>
      </rPr>
      <t>(Base de Cálculo = Módulo 1 (Rem1) + Submódulo 2.1 + Intervalo Intrajornada)</t>
    </r>
  </si>
  <si>
    <r>
      <t>Base de cálculo para o Custo de Reposição do Profissional Ausente (substituto): BCCPA = MÓDULO 1 (= a Rem1) + MÓDULO 2 (- VA - VT) + FÉRIAS + MÓDULO 3</t>
    </r>
    <r>
      <rPr>
        <b/>
        <sz val="11"/>
        <color indexed="10"/>
        <rFont val="Arial"/>
        <family val="2"/>
      </rPr>
      <t xml:space="preserve">  - exceto o Substituto na cobertura de Férias e o Afastamento Maternidade, sendo que neste último a Rem e o 13º podem ser compensados pelo INSS, ambos com base de cálculo própria, conforme consta nesses itens de custo.</t>
    </r>
  </si>
  <si>
    <t xml:space="preserve">Remuneração 1 = Total da Remuneração de verbas de natureza salarial nas quais incidem INSS + FGTS + Férias + 13º, etc. </t>
  </si>
  <si>
    <r>
      <rPr>
        <b/>
        <sz val="14"/>
        <rFont val="Arial"/>
        <family val="2"/>
      </rPr>
      <t xml:space="preserve">Remuneração 2 = Total da Remuneração que o empregado irá receber
</t>
    </r>
    <r>
      <rPr>
        <b/>
        <sz val="11"/>
        <color indexed="12"/>
        <rFont val="Arial"/>
        <family val="2"/>
      </rPr>
      <t xml:space="preserve">Valor entra nos seguintes cálculos: Item 2, "A" - Quadro-Resumo do Custo por Posto de Trabalho, Custos Indiretos, Lucro e Tributos. </t>
    </r>
  </si>
  <si>
    <r>
      <t>Submódulo 2.1 – 13º (décimo terceiro) Salário, (</t>
    </r>
    <r>
      <rPr>
        <b/>
        <strike/>
        <sz val="11"/>
        <color indexed="10"/>
        <rFont val="Arial"/>
        <family val="2"/>
      </rPr>
      <t>Férias)</t>
    </r>
    <r>
      <rPr>
        <b/>
        <sz val="11"/>
        <rFont val="Arial"/>
        <family val="2"/>
      </rPr>
      <t xml:space="preserve"> </t>
    </r>
    <r>
      <rPr>
        <b/>
        <sz val="11"/>
        <color indexed="8"/>
        <rFont val="Arial"/>
        <family val="2"/>
      </rPr>
      <t>e Adicional de Férias</t>
    </r>
  </si>
  <si>
    <r>
      <rPr>
        <b/>
        <sz val="11"/>
        <color indexed="8"/>
        <rFont val="Arial"/>
        <family val="2"/>
      </rPr>
      <t xml:space="preserve">13º (décimo terceiro) Salário, </t>
    </r>
    <r>
      <rPr>
        <b/>
        <sz val="11"/>
        <rFont val="Arial"/>
        <family val="2"/>
      </rPr>
      <t xml:space="preserve">Férias </t>
    </r>
    <r>
      <rPr>
        <b/>
        <sz val="11"/>
        <color indexed="8"/>
        <rFont val="Arial"/>
        <family val="2"/>
      </rPr>
      <t>e Adicional de Férias</t>
    </r>
  </si>
  <si>
    <r>
      <rPr>
        <b/>
        <sz val="10"/>
        <color indexed="8"/>
        <rFont val="Arial"/>
        <family val="2"/>
      </rPr>
      <t>13º (décimo terceiro) Salário</t>
    </r>
    <r>
      <rPr>
        <b/>
        <sz val="10"/>
        <color indexed="10"/>
        <rFont val="Arial"/>
        <family val="2"/>
      </rPr>
      <t xml:space="preserve"> </t>
    </r>
    <r>
      <rPr>
        <b/>
        <sz val="9"/>
        <color indexed="10"/>
        <rFont val="Arial"/>
        <family val="2"/>
      </rPr>
      <t>Obrigatória a cotação de 8,33% sobre o valor do Módulo 1 – Composição da Remuneração1, conforme Anexo XII da IN 5/2017</t>
    </r>
  </si>
  <si>
    <r>
      <t>Adicional de Férias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 xml:space="preserve"> </t>
    </r>
    <r>
      <rPr>
        <b/>
        <sz val="8"/>
        <color indexed="10"/>
        <rFont val="Arial"/>
        <family val="2"/>
      </rPr>
      <t xml:space="preserve">Obrigatória a cotação de 3,025% sobre o valor do Módulo 1 - Composição da Remuneração, conforme Anexo XII da IN 5/17 (Férias + Adicional = 12,10% = 9,075% + 3,025%).  </t>
    </r>
    <r>
      <rPr>
        <b/>
        <sz val="8"/>
        <color indexed="12"/>
        <rFont val="Arial"/>
        <family val="2"/>
      </rPr>
      <t>É vedada a cotação de Férias neste Submódulo, em face de tratar-se de Conta Vinculada. O custo do empregado substituto, quando o titular gozar férias, deverá ser previsto no Submódulo 4.1.A. Isso demonstra que a provisão de Férias neste Submódulo não teria  finalidade, em razão de que o pagamento do titular no seu mês de gozo de férias será feito pelo Módulo 1 - Composição da Remuneração.  Na hipótese de o contrato não ser prorrogado, o pagamento relativo a Férias do empregado deverá ser efetivado pela provisão feita no Submódulo 4.1.A.</t>
    </r>
  </si>
  <si>
    <r>
      <t xml:space="preserve">Submódulo 2.2 - Encargos Previdenciários (GPS), Fundo de Garantia por Tempo de Serviço (FGTS) e outras contribuições </t>
    </r>
    <r>
      <rPr>
        <b/>
        <sz val="11"/>
        <color indexed="12"/>
        <rFont val="Arial"/>
        <family val="2"/>
      </rPr>
      <t xml:space="preserve"> (Base de Cálculo = Módulo 1 (= a Rem1) + Submódulo 2.1 + Intervalo Intrajornada)</t>
    </r>
  </si>
  <si>
    <r>
      <t xml:space="preserve">RAT x FAP
</t>
    </r>
    <r>
      <rPr>
        <b/>
        <sz val="7"/>
        <color indexed="10"/>
        <rFont val="Arial"/>
        <family val="2"/>
      </rPr>
      <t>Cálculo do valor: % do RAT (Riscos Ambientais do Trabalho) x FAP (Fator Acidentário de Prevenção de cada empresa)</t>
    </r>
  </si>
  <si>
    <r>
      <rPr>
        <b/>
        <sz val="10"/>
        <color indexed="8"/>
        <rFont val="Arial"/>
        <family val="2"/>
        <charset val="1"/>
      </rPr>
      <t>13º (décimo terceiro) Salár</t>
    </r>
    <r>
      <rPr>
        <b/>
        <sz val="10"/>
        <rFont val="Arial"/>
        <family val="2"/>
      </rPr>
      <t xml:space="preserve">io e Adicional de </t>
    </r>
    <r>
      <rPr>
        <b/>
        <sz val="10"/>
        <color indexed="8"/>
        <rFont val="Arial"/>
        <family val="2"/>
      </rPr>
      <t>Férias</t>
    </r>
  </si>
  <si>
    <r>
      <t xml:space="preserve">Multa do FGTS sobre o Aviso Prévio Trabalhado e o Aviso Prévio Indenizado </t>
    </r>
    <r>
      <rPr>
        <b/>
        <sz val="9"/>
        <color indexed="10"/>
        <rFont val="Arial"/>
        <family val="2"/>
      </rPr>
      <t xml:space="preserve">Obrigatória a cotação de 4% sobre o valor do Módulo 1 – Composição da Remuneração1, conforme Anexo XII da IN 5/2017 </t>
    </r>
  </si>
  <si>
    <r>
      <t>Base de cálculo para o Custo de Reposição do Profissional Ausente (substituto): BCCPA = MÓDULO 1 (= a Rem2) + MÓDULO 2 (- VA - VT) + FÉRIAS + MÓDULO 3</t>
    </r>
    <r>
      <rPr>
        <b/>
        <sz val="11"/>
        <color indexed="10"/>
        <rFont val="Arial"/>
        <family val="2"/>
      </rPr>
      <t xml:space="preserve"> - exceto o Substituto na cobertura de Férias e o Afastamento Maternidade, sendo que neste último a Rem e o 13º podem ser compensados pelo INSS, ambos com base de cálculo própria, conforme consta nesses itens de custo.</t>
    </r>
  </si>
  <si>
    <t>+</t>
  </si>
  <si>
    <r>
      <t xml:space="preserve">MÓD 2 </t>
    </r>
    <r>
      <rPr>
        <b/>
        <sz val="10"/>
        <color indexed="10"/>
        <rFont val="Arial"/>
        <family val="2"/>
      </rPr>
      <t xml:space="preserve">(sem VA e VT) + </t>
    </r>
    <r>
      <rPr>
        <b/>
        <sz val="10"/>
        <color indexed="12"/>
        <rFont val="Arial"/>
        <family val="2"/>
      </rPr>
      <t>Férias</t>
    </r>
    <r>
      <rPr>
        <b/>
        <sz val="10"/>
        <color indexed="10"/>
        <rFont val="Arial"/>
        <family val="2"/>
      </rPr>
      <t xml:space="preserve"> </t>
    </r>
    <r>
      <rPr>
        <b/>
        <sz val="11"/>
        <color indexed="12"/>
        <rFont val="Arial"/>
        <family val="2"/>
      </rPr>
      <t>=</t>
    </r>
  </si>
  <si>
    <t xml:space="preserve">Submódulo 4.1 – Substituto nas Ausências Legais </t>
  </si>
  <si>
    <r>
      <t xml:space="preserve">Substituto na cobertura de Férias   </t>
    </r>
    <r>
      <rPr>
        <sz val="10"/>
        <color indexed="10"/>
        <rFont val="Arial"/>
        <family val="2"/>
      </rPr>
      <t>O</t>
    </r>
    <r>
      <rPr>
        <b/>
        <sz val="8"/>
        <color indexed="10"/>
        <rFont val="Arial"/>
        <family val="2"/>
      </rPr>
      <t xml:space="preserve">brigatória a cotação de 9,075% sobre o valor do Módulo 1 - Composição da Remuneração, </t>
    </r>
    <r>
      <rPr>
        <b/>
        <sz val="8"/>
        <color indexed="12"/>
        <rFont val="Arial"/>
        <family val="2"/>
      </rPr>
      <t>mais</t>
    </r>
    <r>
      <rPr>
        <b/>
        <sz val="8"/>
        <color indexed="30"/>
        <rFont val="Arial"/>
        <family val="2"/>
      </rPr>
      <t xml:space="preserve"> </t>
    </r>
    <r>
      <rPr>
        <b/>
        <sz val="8"/>
        <color indexed="10"/>
        <rFont val="Arial"/>
        <family val="2"/>
      </rPr>
      <t>o percentual do Submódulo 2.2 sobre o cálculo anterior, conforme Anexo XII da IN 5/17 (Férias + Adicional = 12,10% = 9,075% + 3,025%)</t>
    </r>
  </si>
  <si>
    <r>
      <rPr>
        <b/>
        <sz val="12"/>
        <rFont val="Arial"/>
        <family val="2"/>
      </rPr>
      <t xml:space="preserve">Substituto na cobertura de Ausência por acidente de trabalho
</t>
    </r>
    <r>
      <rPr>
        <b/>
        <sz val="10"/>
        <color indexed="10"/>
        <rFont val="Arial"/>
        <family val="2"/>
      </rPr>
      <t>Cálculo do valor = 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)/30x0,69 dias]/12</t>
    </r>
  </si>
  <si>
    <r>
      <rPr>
        <b/>
        <sz val="12"/>
        <color indexed="8"/>
        <rFont val="Arial"/>
        <family val="2"/>
      </rPr>
      <t xml:space="preserve">Substituto na cobertura de Afastamento Maternidade
</t>
    </r>
    <r>
      <rPr>
        <b/>
        <sz val="8"/>
        <color indexed="10"/>
        <rFont val="Arial"/>
        <family val="2"/>
      </rPr>
      <t>Cálculo do valor = [((Férias + Férias / 3) + SUB2.2 x (Férias + Férias / 3)) x (4/12)] x 2% + [( FGTS x Rem + SUB 2.2 x 13º</t>
    </r>
    <r>
      <rPr>
        <b/>
        <sz val="8"/>
        <color indexed="39"/>
        <rFont val="Arial"/>
        <family val="2"/>
      </rPr>
      <t xml:space="preserve"> </t>
    </r>
    <r>
      <rPr>
        <b/>
        <sz val="8"/>
        <color indexed="10"/>
        <rFont val="Arial"/>
        <family val="2"/>
      </rPr>
      <t xml:space="preserve">+ SUB2.3 – VA – VT + MÓD3) x (4/12)] } x 2%     
</t>
    </r>
    <r>
      <rPr>
        <b/>
        <sz val="7"/>
        <color indexed="12"/>
        <rFont val="Arial"/>
        <family val="2"/>
      </rPr>
      <t>Não incide Contribuição Previdenciária Patronal (INSS + 3ªs entidades) sobre a Remuneração da empregada residente nos 4 meses de Afastamento, conforme Solução de Consulta Cosit/RFB nº 27/2023, públicada na pág. 20 da Seção 1 do DOU de 09/02/2023. A Remuneração e o 13º da empregada residente poderão ser compensados, por isso não constam da fórmula.</t>
    </r>
  </si>
  <si>
    <r>
      <t>Substituto na cobertura de Ausência por doença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12"/>
        <rFont val="Arial"/>
        <family val="2"/>
      </rPr>
      <t xml:space="preserve">
</t>
    </r>
    <r>
      <rPr>
        <b/>
        <sz val="10"/>
        <color indexed="10"/>
        <rFont val="Arial"/>
        <family val="2"/>
      </rPr>
      <t>Cálculo do valor = 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 xml:space="preserve">)/30)x3dias]/12
</t>
    </r>
    <r>
      <rPr>
        <b/>
        <sz val="8"/>
        <color indexed="12"/>
        <rFont val="Arial"/>
        <family val="2"/>
      </rPr>
      <t>Incluído por permissão da IN Seges nº 5/2017, Anexo VII-B, item 1.7, alíneas "b" e "c".5.</t>
    </r>
  </si>
  <si>
    <r>
      <rPr>
        <b/>
        <sz val="10"/>
        <rFont val="Arial"/>
        <family val="2"/>
      </rPr>
      <t xml:space="preserve"> c) IRPJ</t>
    </r>
    <r>
      <rPr>
        <b/>
        <sz val="10"/>
        <color indexed="12"/>
        <rFont val="Arial"/>
        <family val="2"/>
      </rPr>
      <t xml:space="preserve"> </t>
    </r>
    <r>
      <rPr>
        <b/>
        <sz val="10"/>
        <color indexed="39"/>
        <rFont val="Arial"/>
        <family val="2"/>
      </rPr>
      <t>-</t>
    </r>
    <r>
      <rPr>
        <b/>
        <sz val="9"/>
        <color indexed="39"/>
        <rFont val="Arial"/>
        <family val="2"/>
      </rPr>
      <t xml:space="preserve"> Em face dos Acórdãos TCU nºs 950/2007-P e 205/2018-P, o licitante não pode cotar expressamente este tributo.</t>
    </r>
  </si>
  <si>
    <r>
      <rPr>
        <b/>
        <sz val="10"/>
        <rFont val="Arial"/>
        <family val="2"/>
      </rPr>
      <t xml:space="preserve"> d) CSLL </t>
    </r>
    <r>
      <rPr>
        <b/>
        <sz val="10"/>
        <color indexed="39"/>
        <rFont val="Arial"/>
        <family val="2"/>
      </rPr>
      <t xml:space="preserve">- </t>
    </r>
    <r>
      <rPr>
        <b/>
        <sz val="9"/>
        <color indexed="39"/>
        <rFont val="Arial"/>
        <family val="2"/>
      </rPr>
      <t>Em face dos Acórdãos TCU nºs 950/2007-P e 205/2018-P, o licitante não pode cotar expressamente este tributo.</t>
    </r>
  </si>
  <si>
    <t>2. QUADRO-RESUMO DO CUSTO POR POSTO DE TRABALHO</t>
  </si>
  <si>
    <t>Unidade</t>
  </si>
  <si>
    <t>Quantidade a disponibilizar</t>
  </si>
  <si>
    <t>Depreciação (em meses)</t>
  </si>
  <si>
    <t>Quantidade Anual</t>
  </si>
  <si>
    <t>Valor Unitário</t>
  </si>
  <si>
    <t>Custo Anual</t>
  </si>
  <si>
    <t>Ponto biométrico</t>
  </si>
  <si>
    <t>pç</t>
  </si>
  <si>
    <t>Colete Balístico homologado</t>
  </si>
  <si>
    <t>lanterna recarregavél de led</t>
  </si>
  <si>
    <t>Cassetete</t>
  </si>
  <si>
    <t>kit bastão de ronda para controle de vigias com 6 Ibuttons</t>
  </si>
  <si>
    <t>Cartela com 10 munições calibri 38.</t>
  </si>
  <si>
    <t xml:space="preserve">CUSTO ANUAL DOS EQUIPAMENTOS </t>
  </si>
  <si>
    <t xml:space="preserve">CUSTO MENSAL DOS EQUIPAMENTOS </t>
  </si>
  <si>
    <t>Calça</t>
  </si>
  <si>
    <t>Camisa de manga curta</t>
  </si>
  <si>
    <t>camisa de manga longa</t>
  </si>
  <si>
    <t>Cinto nylon</t>
  </si>
  <si>
    <t>Capa de chuva</t>
  </si>
  <si>
    <t>Boné ou quepe</t>
  </si>
  <si>
    <t>par</t>
  </si>
  <si>
    <t>Cinto com Coldre e baleiro</t>
  </si>
  <si>
    <t>Apito</t>
  </si>
  <si>
    <t>Cordão de apito</t>
  </si>
  <si>
    <t>Porta cassetete</t>
  </si>
  <si>
    <t>Botina</t>
  </si>
  <si>
    <t>Capa colete Balístico</t>
  </si>
  <si>
    <t>QUADRO RESUMO</t>
  </si>
  <si>
    <t>CUSTO ANUAL</t>
  </si>
  <si>
    <t>CUSTO MENSAL</t>
  </si>
  <si>
    <t>serviço</t>
  </si>
  <si>
    <t>CUSTO ANUAL DOS MATERIAIS</t>
  </si>
  <si>
    <t>CUSTO MENSAL DOS MATERIAIS</t>
  </si>
  <si>
    <t>Número de meses de execução contratual</t>
  </si>
  <si>
    <t>I</t>
  </si>
  <si>
    <t xml:space="preserve">Tipo de serviço:
                  Auxiliar de Vigilância Patrimonial                                                                                           </t>
  </si>
  <si>
    <t xml:space="preserve">Tipo de serviço:
                  Vigilância e Segurança Armada                                                                                            </t>
  </si>
  <si>
    <t xml:space="preserve">Dia: </t>
  </si>
  <si>
    <t>Passo Fundo/RS</t>
  </si>
  <si>
    <r>
      <t xml:space="preserve">  a) ISS    </t>
    </r>
    <r>
      <rPr>
        <b/>
        <sz val="10"/>
        <color indexed="10"/>
        <rFont val="Arial"/>
        <family val="2"/>
      </rPr>
      <t>(Lei Municipal Passo Fundo nº 137 de 29/12/2004)</t>
    </r>
  </si>
  <si>
    <r>
      <t xml:space="preserve">Total da verba de natureza salarial na qual incidem somente INSS (mais terceiras entidades) e FGTS, em face da Solução de Consulta RFB/Cosit nº 108/2023 e Parecer Jurídico. </t>
    </r>
    <r>
      <rPr>
        <b/>
        <sz val="11"/>
        <color indexed="10"/>
        <rFont val="Arial"/>
        <family val="2"/>
      </rPr>
      <t>Empregado só recebe se estiver trabalhando.</t>
    </r>
  </si>
  <si>
    <r>
      <t xml:space="preserve">Total da verba de natureza salarial na qual incidem somente INSS (mais terceiras entidades) e FGTS, em face da Solução de Consulta RFB/Cosit nº 108/2023 e Parecer Jurídico </t>
    </r>
    <r>
      <rPr>
        <b/>
        <sz val="11"/>
        <color indexed="10"/>
        <rFont val="Arial"/>
        <family val="2"/>
      </rPr>
      <t>- Empregado só recebe se estiver trabalhando.</t>
    </r>
    <r>
      <rPr>
        <b/>
        <sz val="11"/>
        <rFont val="Arial"/>
        <family val="2"/>
      </rPr>
      <t xml:space="preserve"> </t>
    </r>
  </si>
  <si>
    <r>
      <t xml:space="preserve">MATERIAIS, MÁQUINAS E EQUIPAMENTOS ALOCADOS NA EXECUÇÃO CONTRATUAL (item 6.2.f do Anexo VII da IN nº 5/2017  e </t>
    </r>
    <r>
      <rPr>
        <b/>
        <sz val="10"/>
        <color indexed="10"/>
        <rFont val="Arial"/>
        <family val="2"/>
      </rPr>
      <t>item XXXX do edital</t>
    </r>
    <r>
      <rPr>
        <b/>
        <sz val="10"/>
        <color indexed="8"/>
        <rFont val="Arial"/>
        <family val="2"/>
      </rPr>
      <t>)</t>
    </r>
  </si>
  <si>
    <r>
      <t xml:space="preserve">QUANTIDADE DE PESSOAL ALOCADO NA EXECUÇÃO CONTRATUAL (item 6.2.e do Anexo VII da IN nº 5/2017  e </t>
    </r>
    <r>
      <rPr>
        <b/>
        <sz val="10"/>
        <color indexed="10"/>
        <rFont val="Arial"/>
        <family val="2"/>
      </rPr>
      <t>item XXXX do edital</t>
    </r>
    <r>
      <rPr>
        <b/>
        <sz val="10"/>
        <color indexed="8"/>
        <rFont val="Arial"/>
        <family val="2"/>
      </rPr>
      <t>)</t>
    </r>
  </si>
  <si>
    <t>Vigilante Diurno - 12/36H</t>
  </si>
  <si>
    <t>Vigilante Noturno - 12/36H</t>
  </si>
  <si>
    <t>RESUMO</t>
  </si>
  <si>
    <r>
      <t xml:space="preserve">Aviso Prévio Indenizado     </t>
    </r>
    <r>
      <rPr>
        <b/>
        <sz val="8"/>
        <color indexed="10"/>
        <rFont val="Arial"/>
        <family val="2"/>
      </rPr>
      <t xml:space="preserve"> </t>
    </r>
    <r>
      <rPr>
        <b/>
        <u/>
        <sz val="8"/>
        <color indexed="10"/>
        <rFont val="Arial"/>
        <family val="2"/>
      </rPr>
      <t>Cálculo do valor</t>
    </r>
    <r>
      <rPr>
        <b/>
        <sz val="8"/>
        <color indexed="10"/>
        <rFont val="Arial"/>
        <family val="2"/>
      </rPr>
      <t xml:space="preserve"> = [Rem/12 + 13º/12 + (Férias + 1/3 Férias)/12] x (</t>
    </r>
    <r>
      <rPr>
        <b/>
        <sz val="11"/>
        <color indexed="12"/>
        <rFont val="Arial"/>
        <family val="2"/>
      </rPr>
      <t>30 dias</t>
    </r>
    <r>
      <rPr>
        <b/>
        <sz val="8"/>
        <color indexed="10"/>
        <rFont val="Arial"/>
        <family val="2"/>
      </rPr>
      <t xml:space="preserve">/30=1) x 5% de rotatividade anual - Os reflexos de 13º, F e 1/3F são referentes a 1 mês de APInd - </t>
    </r>
    <r>
      <rPr>
        <b/>
        <sz val="8"/>
        <color indexed="12"/>
        <rFont val="Arial"/>
        <family val="2"/>
      </rPr>
      <t xml:space="preserve">Decorridos 12 meses de execução contratual, por ocasião do primeiro reajuste, repatuação ou prorrogação, poderão ser considerados </t>
    </r>
    <r>
      <rPr>
        <b/>
        <sz val="11"/>
        <color indexed="12"/>
        <rFont val="Arial"/>
        <family val="2"/>
      </rPr>
      <t>03 dias</t>
    </r>
    <r>
      <rPr>
        <b/>
        <sz val="8"/>
        <color indexed="12"/>
        <rFont val="Arial"/>
        <family val="2"/>
      </rPr>
      <t xml:space="preserve"> conforme Lei nº 12.506/2011, dependendo da análise do nº de ocorrências deste evento no período.</t>
    </r>
  </si>
  <si>
    <r>
      <t xml:space="preserve">Aviso Prévio Trabalhado      </t>
    </r>
    <r>
      <rPr>
        <b/>
        <sz val="10"/>
        <color indexed="10"/>
        <rFont val="Arial"/>
        <family val="2"/>
      </rPr>
      <t xml:space="preserve"> </t>
    </r>
    <r>
      <rPr>
        <b/>
        <u/>
        <sz val="9"/>
        <color indexed="10"/>
        <rFont val="Arial"/>
        <family val="2"/>
      </rPr>
      <t>Cálculo do valor</t>
    </r>
    <r>
      <rPr>
        <b/>
        <sz val="9"/>
        <color indexed="10"/>
        <rFont val="Arial"/>
        <family val="2"/>
      </rPr>
      <t xml:space="preserve"> = [(Rem1/30)x7]/ 12 meses de execução contraual x (</t>
    </r>
    <r>
      <rPr>
        <b/>
        <sz val="11"/>
        <color indexed="12"/>
        <rFont val="Arial"/>
        <family val="2"/>
      </rPr>
      <t>30 dias</t>
    </r>
    <r>
      <rPr>
        <b/>
        <sz val="9"/>
        <color indexed="10"/>
        <rFont val="Arial"/>
        <family val="2"/>
      </rPr>
      <t xml:space="preserve"> / 30) x 100% do empregados.</t>
    </r>
    <r>
      <rPr>
        <b/>
        <sz val="9"/>
        <rFont val="Arial"/>
        <family val="2"/>
      </rPr>
      <t xml:space="preserve"> </t>
    </r>
    <r>
      <rPr>
        <b/>
        <sz val="9"/>
        <color indexed="12"/>
        <rFont val="Arial"/>
        <family val="2"/>
      </rPr>
      <t xml:space="preserve">Decorridos 12 meses de execução contratual, </t>
    </r>
    <r>
      <rPr>
        <b/>
        <u/>
        <sz val="9"/>
        <color indexed="12"/>
        <rFont val="Arial"/>
        <family val="2"/>
      </rPr>
      <t>negociar extinção/redução</t>
    </r>
    <r>
      <rPr>
        <b/>
        <sz val="9"/>
        <color indexed="12"/>
        <rFont val="Arial"/>
        <family val="2"/>
      </rPr>
      <t>, por ocasição do primeiro reajuste, repactuação ou prorrogação.</t>
    </r>
    <r>
      <rPr>
        <b/>
        <sz val="9"/>
        <color indexed="10"/>
        <rFont val="Arial"/>
        <family val="2"/>
      </rPr>
      <t xml:space="preserve"> (Esta rubrica prevê </t>
    </r>
    <r>
      <rPr>
        <b/>
        <sz val="11"/>
        <color indexed="12"/>
        <rFont val="Arial"/>
        <family val="2"/>
      </rPr>
      <t>30 dias</t>
    </r>
    <r>
      <rPr>
        <b/>
        <sz val="9"/>
        <color indexed="10"/>
        <rFont val="Arial"/>
        <family val="2"/>
      </rPr>
      <t xml:space="preserve"> de aviso prévio, no entanto, decorridos 12 meses de execução, já integralmente provisioandos durante os primeiros 12 meses de execução contratual, o empregado tem direito a mais </t>
    </r>
    <r>
      <rPr>
        <b/>
        <sz val="11"/>
        <color indexed="12"/>
        <rFont val="Arial"/>
        <family val="2"/>
      </rPr>
      <t>03 dias</t>
    </r>
    <r>
      <rPr>
        <b/>
        <sz val="9"/>
        <color indexed="10"/>
        <rFont val="Arial"/>
        <family val="2"/>
      </rPr>
      <t xml:space="preserve"> de aviso prévio trabalhado para cada ano trabalhado, conforme Lei nº 12.506, dependendo da análise do nº de ocorrências deste evendo durante o período).</t>
    </r>
  </si>
  <si>
    <r>
      <t xml:space="preserve">Nota 1:  Como a planilha de custos e formação de preços é calculada mensalmente, provisiona-se proporcionalmente 1/12 (um doze avos) dos valores referentes à gratificação natalina e adicional de férias.
</t>
    </r>
    <r>
      <rPr>
        <b/>
        <sz val="9"/>
        <color indexed="12"/>
        <rFont val="Arial"/>
        <family val="2"/>
      </rPr>
      <t>Nota 2: O adicional de férias contido no Submódulo 2.1 corresponde a 3,025% do Módulo 1, em face do Anexo XII da IN nº 5/2017 exigir 12,10% no somatório de Férias + 1/3 de Férias (9,075% + 3,025%).</t>
    </r>
    <r>
      <rPr>
        <strike/>
        <sz val="9"/>
        <color indexed="8"/>
        <rFont val="Arial"/>
        <family val="2"/>
      </rPr>
      <t xml:space="preserve">
</t>
    </r>
    <r>
      <rPr>
        <b/>
        <strike/>
        <sz val="9"/>
        <color indexed="10"/>
        <rFont val="Arial"/>
        <family val="2"/>
      </rPr>
      <t/>
    </r>
  </si>
  <si>
    <r>
      <rPr>
        <b/>
        <sz val="10"/>
        <color indexed="8"/>
        <rFont val="Arial"/>
        <family val="2"/>
      </rPr>
      <t>Adicional de Férias</t>
    </r>
    <r>
      <rPr>
        <b/>
        <sz val="10"/>
        <color indexed="19"/>
        <rFont val="Arial"/>
        <family val="2"/>
      </rPr>
      <t xml:space="preserve"> </t>
    </r>
    <r>
      <rPr>
        <b/>
        <sz val="8"/>
        <color indexed="10"/>
        <rFont val="Arial"/>
        <family val="2"/>
      </rPr>
      <t xml:space="preserve">Obrigatória a cotação de 3,025% sobre o valor do Módulo 1 – Composição da Remuneração1. </t>
    </r>
    <r>
      <rPr>
        <b/>
        <sz val="9"/>
        <color indexed="12"/>
        <rFont val="Arial"/>
        <family val="2"/>
      </rPr>
      <t xml:space="preserve"> É vedada a cotação de Férias neste Submódulo, em face de tratar-se de Conta Vinculada. O custo do empregado substituto, quando o titular gozar férias, deverá ser previsto no Submódulo 4.1.A. Isso demonstra que a provisão de Férias neste Submódulo não teria  finalidade, em razão de que o pagamento do titular no seu mês de gozo de férias será feito pelo Módulo 1 - Composição da Remuneração. Na hipótese de o contrato não ser prorrogado, o pagamento relativo a Férias do empregado deverá ser efetivado pela provisão feita no Submódulo 4.1.A.</t>
    </r>
  </si>
  <si>
    <t>Vida Útil   (em meses)</t>
  </si>
  <si>
    <t xml:space="preserve">CUSTO ANUAL DOS UTENSÍLIOS </t>
  </si>
  <si>
    <t xml:space="preserve">CUSTO MENSAL DOS UTENSÍLIOS </t>
  </si>
  <si>
    <t>Jaqueta/Japona de Nylon</t>
  </si>
  <si>
    <t>Botas de chuva</t>
  </si>
  <si>
    <t>INSUMOS DIVERSOS - POSTO VIGILANTE</t>
  </si>
  <si>
    <t>Número de Postos</t>
  </si>
  <si>
    <t>Custo Mensal por Posto</t>
  </si>
  <si>
    <t>Custo Mensal Total</t>
  </si>
  <si>
    <t>TOTAL - VIGILANTE</t>
  </si>
  <si>
    <t>Crachá</t>
  </si>
  <si>
    <t>Radios comunicadores</t>
  </si>
  <si>
    <t>Cofre para guarda do armamento, munição, e colete balístico (dimensões mínimas 1m x 0,4m x 0,4m)</t>
  </si>
  <si>
    <t>Revólver calíbre 38.</t>
  </si>
  <si>
    <t>Materiais</t>
  </si>
  <si>
    <t>Equipamentos</t>
  </si>
  <si>
    <t>Uniformes</t>
  </si>
  <si>
    <t>Equipamentos de Uso Geral</t>
  </si>
  <si>
    <r>
      <t xml:space="preserve">VIGILÂNCIA 12 x 36 DIURNA - </t>
    </r>
    <r>
      <rPr>
        <b/>
        <sz val="14"/>
        <color indexed="48"/>
        <rFont val="Arial"/>
        <family val="2"/>
      </rPr>
      <t xml:space="preserve">Lucro Presumido </t>
    </r>
    <r>
      <rPr>
        <b/>
        <sz val="14"/>
        <color indexed="12"/>
        <rFont val="Arial"/>
        <family val="2"/>
      </rPr>
      <t xml:space="preserve">- </t>
    </r>
    <r>
      <rPr>
        <b/>
        <sz val="16"/>
        <color indexed="10"/>
        <rFont val="Arial"/>
        <family val="2"/>
      </rPr>
      <t>CONTA VINCULADA</t>
    </r>
  </si>
  <si>
    <r>
      <t xml:space="preserve">VIGILÂNCIA 12 x 36 NOTURNA - </t>
    </r>
    <r>
      <rPr>
        <b/>
        <sz val="14"/>
        <color indexed="48"/>
        <rFont val="Arial"/>
        <family val="2"/>
      </rPr>
      <t xml:space="preserve">Lucro Presumido </t>
    </r>
    <r>
      <rPr>
        <b/>
        <sz val="14"/>
        <color indexed="12"/>
        <rFont val="Arial"/>
        <family val="2"/>
      </rPr>
      <t xml:space="preserve">- </t>
    </r>
    <r>
      <rPr>
        <b/>
        <sz val="16"/>
        <color indexed="10"/>
        <rFont val="Arial"/>
        <family val="2"/>
      </rPr>
      <t>CONTA VINCULADA</t>
    </r>
  </si>
  <si>
    <t>Vida Útil            (em meses)</t>
  </si>
  <si>
    <t>CUSTO ANUAL DOS INSUMOS</t>
  </si>
  <si>
    <t>CUSTO MENSAL DOS INSUMOS</t>
  </si>
  <si>
    <t>Rateio            (em meses)</t>
  </si>
  <si>
    <t>BASE DE CÁLCULO DOS CUSTOS INDIRETOS  =  (Total do Módulo 1)</t>
  </si>
  <si>
    <t>BASE DE CÁLCULO DOS CUSTOS INDIRETOS  =  (Total do Módulo 1 + Custos Indiretos)</t>
  </si>
  <si>
    <t>BASE DE CÁLCULO DOS TRIBUTOS = (Total do Módulo 1 + Custos Indiretos + Lucro)</t>
  </si>
  <si>
    <t>Nota 1: O valor referente a tributos é obtido aplicando-se o percentual sobre o valor do faturamento.</t>
  </si>
  <si>
    <t>Módulo 2 - Custos Indiretos, Lucro e Tributos</t>
  </si>
  <si>
    <t>Nota: Valores mensais totais</t>
  </si>
  <si>
    <t>https://inviolavel.com/servicos/</t>
  </si>
  <si>
    <t>https://grupodelta.net.br/servicos.html</t>
  </si>
  <si>
    <t>https://mzseguranca.com.br/</t>
  </si>
  <si>
    <t>Predio 2</t>
  </si>
  <si>
    <t>Predio 1</t>
  </si>
  <si>
    <t>Predio 3</t>
  </si>
  <si>
    <t>Predio 4</t>
  </si>
  <si>
    <t>Predio 5</t>
  </si>
  <si>
    <t>Predio 6</t>
  </si>
  <si>
    <t>Predio 7</t>
  </si>
  <si>
    <t>Interna &amp; curto alcance</t>
  </si>
  <si>
    <t>Externa &amp; curto alcance</t>
  </si>
  <si>
    <t>Externa &amp; longo alcance</t>
  </si>
  <si>
    <t>1 - na porta de entrada</t>
  </si>
  <si>
    <t>1 - na porta dos fundos</t>
  </si>
  <si>
    <t>1 - no corredor da corac/direção/ponto</t>
  </si>
  <si>
    <t>1 - no corredor do deap/coap</t>
  </si>
  <si>
    <t>1 - no portão de entrada de veículos</t>
  </si>
  <si>
    <t>1 - no portão de saída dos veículos</t>
  </si>
  <si>
    <t>1 - no portão de entrada de pessoas</t>
  </si>
  <si>
    <t>1 - no portão de saída de pessoas</t>
  </si>
  <si>
    <t>1 - no portão da BR 285</t>
  </si>
  <si>
    <t>1 - na entrada da quadra de esportes</t>
  </si>
  <si>
    <t>1 - na caixa d'água</t>
  </si>
  <si>
    <t>1 - lateral norte (passarela)</t>
  </si>
  <si>
    <t>1 - lateral leste (frente)</t>
  </si>
  <si>
    <t>1 - lateral sul (estacionamento)</t>
  </si>
  <si>
    <t>1 - lateral oeste (assistencia)</t>
  </si>
  <si>
    <t>1 - lateral oeste 1 (gabdir)</t>
  </si>
  <si>
    <t>1 - muro da BR 285</t>
  </si>
  <si>
    <t>1 - muro gradil perimetral</t>
  </si>
  <si>
    <t>1 - divisa APAC</t>
  </si>
  <si>
    <t>1 - divisa ACIALAMA</t>
  </si>
  <si>
    <t>1 - fundos do IFSUL</t>
  </si>
  <si>
    <t>5 - porta de entrada das salas modulares</t>
  </si>
  <si>
    <t>1 - Porta de entrada superior ao prédio</t>
  </si>
  <si>
    <t>1 - Porta de entrada inferior ao prédio</t>
  </si>
  <si>
    <t>1 - Portão oeste do subsolo</t>
  </si>
  <si>
    <t>1 - Portão leste do subsolo</t>
  </si>
  <si>
    <t>1 - lateral norte do prédio</t>
  </si>
  <si>
    <t>1 - saguão do prédio 5</t>
  </si>
  <si>
    <t>1 - entrada do prédio 5</t>
  </si>
  <si>
    <t>1 - lateral oeste/fundos</t>
  </si>
  <si>
    <t>1 - lateral norte c/ predio edificações</t>
  </si>
  <si>
    <t>1 - lateral sul c/ predio oficina</t>
  </si>
  <si>
    <t>1 - saguão do prédio 3</t>
  </si>
  <si>
    <t>1 - entrada do prédio 3</t>
  </si>
  <si>
    <t>1 - lateral norte/fundos</t>
  </si>
  <si>
    <t>2 - lateral leste c/ containers comag</t>
  </si>
  <si>
    <t>1 - ferramentaria/entrada/escada</t>
  </si>
  <si>
    <t>1 - porta dos fundos</t>
  </si>
  <si>
    <t>1 - entrada do prédio 2</t>
  </si>
  <si>
    <t>1 - lateral sul (Acialama)</t>
  </si>
  <si>
    <t>1 - lateral oeste (descida veículos)</t>
  </si>
  <si>
    <t>1 - lateral norte (portão lateral)</t>
  </si>
  <si>
    <t>1 - entrada do miniautditório</t>
  </si>
  <si>
    <t>1 - área de alimentação da cantina</t>
  </si>
  <si>
    <t>1 - lateral norte (lago)</t>
  </si>
  <si>
    <t>1 - lateral oeste / passarela coberta</t>
  </si>
  <si>
    <t>1 - entrada superior/passarela</t>
  </si>
  <si>
    <t>1 - entrada inferior/passarela (biblioteca)</t>
  </si>
  <si>
    <t>1 - container recreativo dos estudantes</t>
  </si>
  <si>
    <t>1 - entrada principal</t>
  </si>
  <si>
    <t>1 - lateral norte (APAC)</t>
  </si>
  <si>
    <t>1 - lateral leste (Perimetral)</t>
  </si>
  <si>
    <t>1 - palco</t>
  </si>
  <si>
    <t>1 - do palco para as assistências inferior e superior</t>
  </si>
  <si>
    <t>1 - lateral oeste (porta secundária)</t>
  </si>
  <si>
    <t xml:space="preserve">1 - entrada/passarela </t>
  </si>
  <si>
    <t>1 - área interna da guarita</t>
  </si>
  <si>
    <t>1 - no rescinto do vigilante que fica no pátio</t>
  </si>
  <si>
    <t>1 - entrada saguão superior</t>
  </si>
  <si>
    <t>1 - entrada saguão inferior</t>
  </si>
  <si>
    <t>1 - laboratório 708</t>
  </si>
  <si>
    <t>Valor mensal</t>
  </si>
  <si>
    <r>
      <t xml:space="preserve">Custos Indiretos </t>
    </r>
    <r>
      <rPr>
        <b/>
        <sz val="11"/>
        <color indexed="10"/>
        <rFont val="Arial"/>
        <family val="2"/>
      </rPr>
      <t>(este percentual deverá cobrir todas os custos indiretos, inclusive os não especificados nos insumos, materiais, equipamentos, e outros insumos, necessários para viabilização e disponibilização do serviço de videomonitoramento)</t>
    </r>
  </si>
  <si>
    <t>1.1</t>
  </si>
  <si>
    <t>J</t>
  </si>
  <si>
    <t>1.2</t>
  </si>
  <si>
    <t>CUSTO ANUAL DOS OUTROS INSUMOS</t>
  </si>
  <si>
    <t>CUSTO MENSAL DOS OUTROS INSUMOS</t>
  </si>
  <si>
    <t>1.3</t>
  </si>
  <si>
    <t>1.4</t>
  </si>
  <si>
    <r>
      <t xml:space="preserve">1. MÓDULOS 
</t>
    </r>
    <r>
      <rPr>
        <b/>
        <sz val="12"/>
        <color indexed="8"/>
        <rFont val="Arial"/>
        <family val="2"/>
      </rPr>
      <t>Serviço de Videomonitoramento</t>
    </r>
  </si>
  <si>
    <t>Módulos</t>
  </si>
  <si>
    <t>Valor Total do Serviço (A +B)</t>
  </si>
  <si>
    <t>Insumos Diversos para Serviço de Monitoramento</t>
  </si>
  <si>
    <t>Ponto de Observação</t>
  </si>
  <si>
    <t>X</t>
  </si>
  <si>
    <t>Ambiente</t>
  </si>
  <si>
    <t>interno</t>
  </si>
  <si>
    <t>externo</t>
  </si>
  <si>
    <t>Resolução</t>
  </si>
  <si>
    <t>720p</t>
  </si>
  <si>
    <t>1080p</t>
  </si>
  <si>
    <t>Alcance</t>
  </si>
  <si>
    <t>Sim</t>
  </si>
  <si>
    <t>Não</t>
  </si>
  <si>
    <t>4k</t>
  </si>
  <si>
    <t>Ângulo de Abertura</t>
  </si>
  <si>
    <t>Visão Noturna Infravermelho</t>
  </si>
  <si>
    <t>Acesso a Campus, à esquerda.</t>
  </si>
  <si>
    <t>Acesso a Campus, à direita.</t>
  </si>
  <si>
    <t>Entrada dos estudantes.</t>
  </si>
  <si>
    <t>Estacionamento em frente ao prédio 4.</t>
  </si>
  <si>
    <t>Estacionamento em frente ao prédio 1, à esquerda.</t>
  </si>
  <si>
    <t>Estacionamento em frente ao prédio 1, à direita.</t>
  </si>
  <si>
    <t>Espaço em frente a caixa d'água e subestação.</t>
  </si>
  <si>
    <t>Estacionamento lateral ao prédio 1.</t>
  </si>
  <si>
    <t>Espaço entre as salas modulares.</t>
  </si>
  <si>
    <t>Espaço aos fundos do prédio 1.</t>
  </si>
  <si>
    <t>Acesso à biblioteca.</t>
  </si>
  <si>
    <t>Acesso ao Auditório.</t>
  </si>
  <si>
    <t>Descida lateral ao Predio 2.</t>
  </si>
  <si>
    <t>Acesso aos conteineres Comag/Coap.</t>
  </si>
  <si>
    <t>Acesso aos prédios 2 e 3.</t>
  </si>
  <si>
    <t>Lateral prédio 2 e divisa Accialama.</t>
  </si>
  <si>
    <t>Fundos prédio 3 (laboratórios) e laboratório predio 7.</t>
  </si>
  <si>
    <t>Acesso aos prédios 5 e 7.</t>
  </si>
  <si>
    <t>Lateral prédio 5 e divisa com Accialama.</t>
  </si>
  <si>
    <t>Fundos prédio 5 e visada até os muros sul e oeste.</t>
  </si>
  <si>
    <t>Lateral do prédio 5 e laboratório do predio 7.</t>
  </si>
  <si>
    <t>Caminho de acesso a quadra de esportes e divisa Apace.</t>
  </si>
  <si>
    <t>Fundos do Prédio 7 e visada do muro oeste.</t>
  </si>
  <si>
    <t>Visada do muro norte e portão Br 285.</t>
  </si>
  <si>
    <t>60°</t>
  </si>
  <si>
    <t>90°</t>
  </si>
  <si>
    <t>45°</t>
  </si>
  <si>
    <t>120°</t>
  </si>
  <si>
    <t>até 50 m</t>
  </si>
  <si>
    <t>até 25 m</t>
  </si>
  <si>
    <t>até 100 m</t>
  </si>
  <si>
    <r>
      <t xml:space="preserve">Prazo de validade do Orçamento: </t>
    </r>
    <r>
      <rPr>
        <b/>
        <sz val="10"/>
        <rFont val="Arial"/>
        <family val="2"/>
      </rPr>
      <t>120 dias</t>
    </r>
  </si>
  <si>
    <r>
      <t xml:space="preserve">Nome do responsavel pelo orçamento:  </t>
    </r>
    <r>
      <rPr>
        <b/>
        <sz val="10"/>
        <rFont val="Arial"/>
        <family val="2"/>
      </rPr>
      <t>XXXXXXXXXXXXXXXX</t>
    </r>
  </si>
  <si>
    <r>
      <t xml:space="preserve">Razão social da empresa: </t>
    </r>
    <r>
      <rPr>
        <b/>
        <sz val="10"/>
        <rFont val="Arial"/>
        <family val="2"/>
      </rPr>
      <t>XXXXXXXXXXXXXXXX</t>
    </r>
  </si>
  <si>
    <r>
      <t xml:space="preserve">CNPJ da empresa: </t>
    </r>
    <r>
      <rPr>
        <b/>
        <sz val="10"/>
        <rFont val="Arial"/>
        <family val="2"/>
      </rPr>
      <t>XXXXXXXXXXXXXXXX</t>
    </r>
  </si>
  <si>
    <r>
      <t xml:space="preserve">Endereço da empresa: </t>
    </r>
    <r>
      <rPr>
        <b/>
        <sz val="10"/>
        <rFont val="Arial"/>
        <family val="2"/>
      </rPr>
      <t>XXXXXXXXXXXXXXXX</t>
    </r>
  </si>
  <si>
    <r>
      <t xml:space="preserve">Telefone da empresa: </t>
    </r>
    <r>
      <rPr>
        <b/>
        <sz val="10"/>
        <rFont val="Arial"/>
        <family val="2"/>
      </rPr>
      <t>XXXXXXXXXXXXXXXX</t>
    </r>
  </si>
  <si>
    <r>
      <t xml:space="preserve">Site da empresa: </t>
    </r>
    <r>
      <rPr>
        <b/>
        <sz val="10"/>
        <rFont val="Arial"/>
        <family val="2"/>
      </rPr>
      <t>XXXXXXXXXXXXXXXX</t>
    </r>
  </si>
  <si>
    <r>
      <t xml:space="preserve">Declaração: </t>
    </r>
    <r>
      <rPr>
        <b/>
        <sz val="10"/>
        <rFont val="Arial"/>
        <family val="2"/>
      </rPr>
      <t>Neste orçamento estão inclusos todos os custos e despesas para execução total dos serviços, incluindo impostos, taxas, lucro, custos indiretos, etc.</t>
    </r>
  </si>
  <si>
    <t>assinatura do responsavel pelo orçamanto na empresa</t>
  </si>
  <si>
    <t>OUTROS SERVIÇOS</t>
  </si>
  <si>
    <t>L</t>
  </si>
  <si>
    <t>M</t>
  </si>
  <si>
    <t>N</t>
  </si>
  <si>
    <t>O</t>
  </si>
  <si>
    <t>HD 10 TB Para NVR</t>
  </si>
  <si>
    <t xml:space="preserve">Smart TV 4K 42 polegadas para monitoramento das câmeras </t>
  </si>
  <si>
    <t>Switch gigabit 10/100/1000 com 5 portas</t>
  </si>
  <si>
    <t>Especificar e detalhar insumos diversos de implantação e/ou benfeitorias, tais como cabo lan-cat25, cabo lan blindado subterrâneo, cabo óptico drop F8 SM fibras, kit de instalação de conectores, cintas, tubulação 3/4 branca, eltroduto 1", postes de instalação de cameras, hastes para extensão de posicionamento de câmeras, mão-de-obra para implantação e benfeitorias, e outros, etc.</t>
  </si>
  <si>
    <t>Câmera IP bullet externa, Full HD, 1920 (H) x 1080 (V), IR 30m, com microfone embutido, compressão de vídeo h.265, IP67, PoE.</t>
  </si>
  <si>
    <t>Gravador de vídeo - NVR para 32 canais compatível com h.265+ e h.265, suporte a câmeras IP com áudio, resolusão de gravação 3840x2160 (4K), com inteligência de vídeo, compatível com HD 10 TB</t>
  </si>
  <si>
    <t>Câmera IP bullet externa, 4K, 3840 (H) x 2160 (V), IR 30m, inteligência perimetral, com microfone embutido, compressão de vídeo h.265, IP67, PoE.</t>
  </si>
  <si>
    <t>Cancela automática, fluxo intenso, barreira 3,3 metros, com LED, sistema de detecção de obstáculo,  pictogramas para orientação de fluxo.</t>
  </si>
  <si>
    <r>
      <t xml:space="preserve">EQUIPAMENTOS FORNECIDOS EM COMODATO </t>
    </r>
    <r>
      <rPr>
        <b/>
        <sz val="10"/>
        <color indexed="10"/>
        <rFont val="Arial"/>
        <family val="2"/>
      </rPr>
      <t>(equipamentos com depreciação definida)</t>
    </r>
  </si>
  <si>
    <r>
      <t xml:space="preserve">MATERIAIS </t>
    </r>
    <r>
      <rPr>
        <b/>
        <sz val="10"/>
        <color indexed="10"/>
        <rFont val="Arial"/>
        <family val="2"/>
      </rPr>
      <t>(materiais diversos que complementam os equipamentos a serem disponibilizados em comodato, sem depreciação, mas com vida util definida)</t>
    </r>
  </si>
  <si>
    <r>
      <t xml:space="preserve">INSUMOS </t>
    </r>
    <r>
      <rPr>
        <b/>
        <sz val="10"/>
        <color indexed="10"/>
        <rFont val="Arial"/>
        <family val="2"/>
      </rPr>
      <t>(Insumos de Implantação e/ou benfeitorias - sem prazo de vida útil determinado, mas com rateio pelo período previsto de execução contratual)</t>
    </r>
  </si>
  <si>
    <t>especificar</t>
  </si>
  <si>
    <t>Especificar serviço mensal sem dedicação exclusiva de mão de obra, necessários para viabilização, manutenção e disponibilização (comodato) e monitoramento de videomonitoramento 24 (vinte e quatro) horas, 7 (sete) dias por semana.</t>
  </si>
  <si>
    <t>Sensor Inteligencia</t>
  </si>
  <si>
    <t>Detalhar materiais diversos que complementam os equipamentos a serem disponibilizados em comodato, tais como fonte adaptadora POE para câmeras, conversor (par) para câmeras, caixa hermética baby 145x105x70, , mini rack de parede 19 polegadas, régua de tomadas, placas de sinalização e de advertência de ambiente monitorado, espelho convexo de 60cm, mão-de-obra de instalação de materiais e equipamentos, licença de uso de protocolos e softwares, e outros, etc.</t>
  </si>
  <si>
    <t>Quantidade anual por trabalhador</t>
  </si>
  <si>
    <t>Quantidade anual por posto</t>
  </si>
  <si>
    <t>Quantidade a disponibilizar por posto</t>
  </si>
  <si>
    <t>Quantidade semestral por trabalhador</t>
  </si>
  <si>
    <r>
      <t xml:space="preserve">VIGILÂNCIA ELETRÔNICA - 24 H DIÁRIAS DE SEGUNDA-FEIRA A DOMINGO - </t>
    </r>
    <r>
      <rPr>
        <b/>
        <sz val="14"/>
        <color indexed="48"/>
        <rFont val="Arial"/>
        <family val="2"/>
      </rPr>
      <t xml:space="preserve">Lucro Presumido </t>
    </r>
    <r>
      <rPr>
        <b/>
        <sz val="14"/>
        <color indexed="12"/>
        <rFont val="Arial"/>
        <family val="2"/>
      </rPr>
      <t/>
    </r>
  </si>
  <si>
    <t>24 (vinte e quatro) horas, 7 (sete) dias por semana de Vigilância Eletrônica</t>
  </si>
  <si>
    <t>Quadro-Resumo do Módulo 1 – Insumos Diversos para Serviço de Vigilância Eletrônica</t>
  </si>
  <si>
    <t>2. QUADRO-RESUMO DO CUSTO DO SERVIÇO DE VIGILÂNCIA ELETRÔNICA</t>
  </si>
  <si>
    <t>Módulo 1 - Insumos Diversos - Vigilância Eletrônica</t>
  </si>
  <si>
    <t>Módulo 1: Insumos Diversos para Serviço de Vigilância Eletrônica</t>
  </si>
  <si>
    <r>
      <rPr>
        <b/>
        <sz val="10"/>
        <rFont val="Arial"/>
        <family val="2"/>
      </rPr>
      <t>XXXXXXXXXXXXXXXX</t>
    </r>
    <r>
      <rPr>
        <sz val="10"/>
        <rFont val="Arial"/>
        <family val="2"/>
      </rPr>
      <t xml:space="preserve">, </t>
    </r>
    <r>
      <rPr>
        <b/>
        <sz val="10"/>
        <rFont val="Arial"/>
        <family val="2"/>
      </rPr>
      <t>XX</t>
    </r>
    <r>
      <rPr>
        <sz val="10"/>
        <rFont val="Arial"/>
        <family val="2"/>
      </rPr>
      <t xml:space="preserve"> de </t>
    </r>
    <r>
      <rPr>
        <b/>
        <sz val="10"/>
        <rFont val="Arial"/>
        <family val="2"/>
      </rPr>
      <t>XXXXXXXXXXXXXXXX</t>
    </r>
    <r>
      <rPr>
        <sz val="10"/>
        <rFont val="Arial"/>
        <family val="2"/>
      </rPr>
      <t xml:space="preserve"> de </t>
    </r>
    <r>
      <rPr>
        <b/>
        <sz val="10"/>
        <rFont val="Arial"/>
        <family val="2"/>
      </rPr>
      <t>20XX</t>
    </r>
    <r>
      <rPr>
        <sz val="10"/>
        <rFont val="Arial"/>
        <family val="2"/>
      </rPr>
      <t>.</t>
    </r>
  </si>
  <si>
    <t>QUADRO RESUMO - VIGILANTE NOTURNO</t>
  </si>
  <si>
    <t>QUADRO RESUMO - VIGILANTE DIURNO</t>
  </si>
  <si>
    <t>UNIFORMES - VIGILANTE (individual para posto)</t>
  </si>
  <si>
    <t>CUSTO ANUAL DOS UNIFORMES</t>
  </si>
  <si>
    <t>CUSTO MENSAL DOS UNIFORMES</t>
  </si>
  <si>
    <t>MATERIAIS - VIGILANTE</t>
  </si>
  <si>
    <t>EQUIPAMENTOS - VIGILANTE</t>
  </si>
  <si>
    <t>1º de abril de 2024</t>
  </si>
  <si>
    <r>
      <t xml:space="preserve">Salário-Base </t>
    </r>
    <r>
      <rPr>
        <b/>
        <sz val="10"/>
        <color indexed="10"/>
        <rFont val="Arial"/>
        <family val="2"/>
      </rPr>
      <t xml:space="preserve"> (valor para 2 vigilantes = 1 posto) </t>
    </r>
    <r>
      <rPr>
        <b/>
        <sz val="10"/>
        <rFont val="Arial"/>
        <family val="2"/>
      </rPr>
      <t>(cláusulas 3ª e 4ª da CCT 2024/2025)</t>
    </r>
  </si>
  <si>
    <r>
      <t xml:space="preserve">Adicional Noturno  sobre: 1) 7h de 60min p/dia + 2) 1,0 h reduzida noturna p/dia para o RS  </t>
    </r>
    <r>
      <rPr>
        <b/>
        <sz val="10"/>
        <color indexed="10"/>
        <rFont val="Arial"/>
        <family val="2"/>
      </rPr>
      <t xml:space="preserve">Cálculo do valor: AN (s/peri) x </t>
    </r>
    <r>
      <rPr>
        <b/>
        <sz val="10"/>
        <color indexed="18"/>
        <rFont val="Arial"/>
        <family val="2"/>
      </rPr>
      <t>8h)</t>
    </r>
    <r>
      <rPr>
        <b/>
        <sz val="10"/>
        <color indexed="10"/>
        <rFont val="Arial"/>
        <family val="2"/>
      </rPr>
      <t xml:space="preserve">x15dx2vig. </t>
    </r>
    <r>
      <rPr>
        <b/>
        <sz val="10"/>
        <color indexed="12"/>
        <rFont val="Arial"/>
        <family val="2"/>
      </rPr>
      <t>Das 22h às 5h.</t>
    </r>
    <r>
      <rPr>
        <b/>
        <sz val="10"/>
        <rFont val="Arial"/>
        <family val="2"/>
      </rPr>
      <t xml:space="preserve">  (cláusulas 26 da CCT 2024/2025)</t>
    </r>
  </si>
  <si>
    <r>
      <t>Adicional de Hora Noturna Reduzida</t>
    </r>
    <r>
      <rPr>
        <b/>
        <sz val="10"/>
        <color indexed="10"/>
        <rFont val="Arial"/>
        <family val="2"/>
      </rPr>
      <t xml:space="preserve"> (Hora Reduzida Noturna como Extra) </t>
    </r>
    <r>
      <rPr>
        <b/>
        <sz val="10"/>
        <color indexed="12"/>
        <rFont val="Arial"/>
        <family val="2"/>
      </rPr>
      <t xml:space="preserve">(HRN que excedeu de 190,67h) </t>
    </r>
    <r>
      <rPr>
        <b/>
        <sz val="10"/>
        <color indexed="10"/>
        <rFont val="Arial"/>
        <family val="2"/>
      </rPr>
      <t xml:space="preserve">Cálculo do valor: HE (s/peri) x </t>
    </r>
    <r>
      <rPr>
        <b/>
        <sz val="10"/>
        <color indexed="12"/>
        <rFont val="Arial"/>
        <family val="2"/>
      </rPr>
      <t>4,33 h</t>
    </r>
    <r>
      <rPr>
        <b/>
        <sz val="10"/>
        <color indexed="10"/>
        <rFont val="Arial"/>
        <family val="2"/>
      </rPr>
      <t xml:space="preserve"> x 2 vig.)  ---   [195h (=180h + </t>
    </r>
    <r>
      <rPr>
        <b/>
        <sz val="10"/>
        <color indexed="12"/>
        <rFont val="Arial"/>
        <family val="2"/>
      </rPr>
      <t>15h</t>
    </r>
    <r>
      <rPr>
        <b/>
        <sz val="10"/>
        <color indexed="10"/>
        <rFont val="Arial"/>
        <family val="2"/>
      </rPr>
      <t xml:space="preserve">) - 190,67 = </t>
    </r>
    <r>
      <rPr>
        <b/>
        <sz val="10"/>
        <color indexed="12"/>
        <rFont val="Arial"/>
        <family val="2"/>
      </rPr>
      <t>4,33h</t>
    </r>
    <r>
      <rPr>
        <b/>
        <sz val="10"/>
        <color indexed="10"/>
        <rFont val="Arial"/>
        <family val="2"/>
      </rPr>
      <t xml:space="preserve"> como horas extras, sendo  </t>
    </r>
    <r>
      <rPr>
        <b/>
        <sz val="10"/>
        <color indexed="12"/>
        <rFont val="Arial"/>
        <family val="2"/>
      </rPr>
      <t>15</t>
    </r>
    <r>
      <rPr>
        <b/>
        <sz val="10"/>
        <color indexed="10"/>
        <rFont val="Arial"/>
        <family val="2"/>
      </rPr>
      <t xml:space="preserve"> = 15x(7hx1,1428571 – 7h) </t>
    </r>
    <r>
      <rPr>
        <b/>
        <sz val="10"/>
        <color indexed="12"/>
        <rFont val="Arial"/>
        <family val="2"/>
      </rPr>
      <t xml:space="preserve">Das 22h às 5h </t>
    </r>
    <r>
      <rPr>
        <b/>
        <sz val="10"/>
        <rFont val="Arial"/>
        <family val="2"/>
      </rPr>
      <t>(cláusula 26 e 74 da CCT 2024/2025)</t>
    </r>
  </si>
  <si>
    <r>
      <t xml:space="preserve">Adicional para Troca de Uniforme -  Cálculo do valor: 1/6 do salário-hora por dia = </t>
    </r>
    <r>
      <rPr>
        <b/>
        <sz val="10"/>
        <color indexed="10"/>
        <rFont val="Arial"/>
        <family val="2"/>
      </rPr>
      <t xml:space="preserve">(VSH/6=1,34)x2x15 </t>
    </r>
    <r>
      <rPr>
        <b/>
        <sz val="10"/>
        <rFont val="Arial"/>
        <family val="2"/>
      </rPr>
      <t xml:space="preserve">  (cláusula 29 da CCT 2024/2025)</t>
    </r>
  </si>
  <si>
    <r>
      <t>Adicional de Periculosidade</t>
    </r>
    <r>
      <rPr>
        <b/>
        <sz val="10"/>
        <color indexed="10"/>
        <rFont val="Arial"/>
        <family val="2"/>
      </rPr>
      <t xml:space="preserve"> (Lei nº 12.740/2012)    (30% das rubricas pertinentes) </t>
    </r>
    <r>
      <rPr>
        <b/>
        <sz val="10"/>
        <rFont val="Arial"/>
        <family val="2"/>
      </rPr>
      <t>(cláusula 27 da CCT 2024/2025)</t>
    </r>
  </si>
  <si>
    <r>
      <t xml:space="preserve">RSR (Repouso Semanal Remunerado) - </t>
    </r>
    <r>
      <rPr>
        <b/>
        <sz val="10"/>
        <color indexed="10"/>
        <rFont val="Arial"/>
        <family val="2"/>
      </rPr>
      <t xml:space="preserve">Cálculo do valor: 20% sobre os adicionais pertinentes) - </t>
    </r>
    <r>
      <rPr>
        <b/>
        <sz val="10"/>
        <rFont val="Arial"/>
        <family val="2"/>
      </rPr>
      <t xml:space="preserve"> (cláusula 16 e 29 da CCT 2024/2025) </t>
    </r>
  </si>
  <si>
    <r>
      <t xml:space="preserve">Intervalo Intrajornada </t>
    </r>
    <r>
      <rPr>
        <b/>
        <sz val="10"/>
        <color indexed="10"/>
        <rFont val="Arial"/>
        <family val="2"/>
      </rPr>
      <t>(Adicional de Intervalo)  Cálculo do valor: HE (s/peri) x 15d x2vigx</t>
    </r>
    <r>
      <rPr>
        <b/>
        <sz val="10"/>
        <color indexed="12"/>
        <rFont val="Arial"/>
        <family val="2"/>
      </rPr>
      <t>0,5h</t>
    </r>
    <r>
      <rPr>
        <b/>
        <sz val="10"/>
        <color indexed="10"/>
        <rFont val="Arial"/>
        <family val="2"/>
      </rPr>
      <t xml:space="preserve">) - </t>
    </r>
    <r>
      <rPr>
        <b/>
        <sz val="10"/>
        <rFont val="Arial"/>
        <family val="2"/>
      </rPr>
      <t>(cláusula 65 da CCT 2024/2025)</t>
    </r>
  </si>
  <si>
    <r>
      <t xml:space="preserve">     B.3) Participação do empregado em percentual sobre o auxílio-alimentação </t>
    </r>
    <r>
      <rPr>
        <b/>
        <sz val="10"/>
        <rFont val="Arial"/>
        <family val="2"/>
      </rPr>
      <t xml:space="preserve"> (cláusula 30 da CCT 2024/2025)</t>
    </r>
  </si>
  <si>
    <r>
      <t xml:space="preserve">     </t>
    </r>
    <r>
      <rPr>
        <b/>
        <sz val="10"/>
        <color indexed="10"/>
        <rFont val="Arial"/>
        <family val="2"/>
      </rPr>
      <t xml:space="preserve">B.1) Valor do Auxílio-Alimentação  </t>
    </r>
    <r>
      <rPr>
        <b/>
        <sz val="10"/>
        <rFont val="Arial"/>
        <family val="2"/>
      </rPr>
      <t>(cláusula 30 da CCT 2024/2025)</t>
    </r>
  </si>
  <si>
    <r>
      <t xml:space="preserve">     A.4) Participação do empregado em percentual do salário-base </t>
    </r>
    <r>
      <rPr>
        <b/>
        <sz val="10"/>
        <rFont val="Arial"/>
        <family val="2"/>
      </rPr>
      <t>(cláusula 32 da CCT 2024/2025)</t>
    </r>
  </si>
  <si>
    <r>
      <t>Seguro de Vida (cláusula 34 da CCT 2024/2025)</t>
    </r>
    <r>
      <rPr>
        <b/>
        <sz val="9"/>
        <color indexed="10"/>
        <rFont val="Arial"/>
        <family val="2"/>
      </rPr>
      <t xml:space="preserve"> Cálculo do valor: 26 x Remx 0,023%</t>
    </r>
    <r>
      <rPr>
        <b/>
        <sz val="10"/>
        <rFont val="Arial"/>
        <family val="2"/>
      </rPr>
      <t xml:space="preserve">
</t>
    </r>
    <r>
      <rPr>
        <b/>
        <sz val="8"/>
        <color indexed="12"/>
        <rFont val="Arial"/>
        <family val="2"/>
      </rPr>
      <t>O valor cotado pelo licitante deve ser fixado na planilha e somente deve ser alterado mediante repactuação com comprovação do aumento. Depois da licitação, excluir a fórmula</t>
    </r>
  </si>
  <si>
    <r>
      <t>Auxílio-Funeral   (cláusula 33 da CCT 2024/2025)</t>
    </r>
    <r>
      <rPr>
        <b/>
        <sz val="10"/>
        <color indexed="10"/>
        <rFont val="Arial"/>
        <family val="2"/>
      </rPr>
      <t xml:space="preserve"> Cálculo do valor: [(SB x 0,52066%)/12]</t>
    </r>
    <r>
      <rPr>
        <b/>
        <sz val="10"/>
        <rFont val="Arial"/>
        <family val="2"/>
      </rPr>
      <t xml:space="preserve">
</t>
    </r>
    <r>
      <rPr>
        <b/>
        <sz val="8"/>
        <color indexed="12"/>
        <rFont val="Arial"/>
        <family val="2"/>
      </rPr>
      <t>O valor cotado pelo licitante deve ser fixado na planilha e somente deve ser alterado mediante repactuação com comprovação do aumento. Depois da licitação, excluir a fórmula</t>
    </r>
  </si>
  <si>
    <t>Adicional para Troca de Uniforme -  Cálculo do valor: 1/6 do salário-hora por dia = (VSH/6=1,34)x2x15  (cláusula 29 da CCT 2024/2025)</t>
  </si>
  <si>
    <r>
      <t xml:space="preserve">Salário-Base      </t>
    </r>
    <r>
      <rPr>
        <b/>
        <sz val="10"/>
        <color indexed="10"/>
        <rFont val="Arial"/>
        <family val="2"/>
      </rPr>
      <t xml:space="preserve"> (valor para 2 vigilantes = 1 posto) </t>
    </r>
    <r>
      <rPr>
        <b/>
        <sz val="10"/>
        <rFont val="Arial"/>
        <family val="2"/>
      </rPr>
      <t>(cláusulas  3ª e 4ª da CCT 2024/2025)</t>
    </r>
  </si>
  <si>
    <r>
      <t xml:space="preserve">RSR (Repouso Semanal Remunerado) - Cláusulas 16 e 29 da CCT 2024/2025 - </t>
    </r>
    <r>
      <rPr>
        <b/>
        <sz val="10"/>
        <color indexed="10"/>
        <rFont val="Arial"/>
        <family val="2"/>
      </rPr>
      <t xml:space="preserve">Cálculo do valor: 20% sobre os adicionais pertinentes) </t>
    </r>
  </si>
  <si>
    <r>
      <rPr>
        <b/>
        <sz val="10"/>
        <color indexed="10"/>
        <rFont val="Arial"/>
        <family val="2"/>
      </rPr>
      <t xml:space="preserve">     A.1)  Valor da passagem do transporte coletivo no município de
                prestação dos serviços </t>
    </r>
    <r>
      <rPr>
        <b/>
        <sz val="10"/>
        <rFont val="Arial"/>
        <family val="2"/>
      </rPr>
      <t>(Decreto Municipal P. Fundo nº 113/2024)</t>
    </r>
  </si>
  <si>
    <r>
      <t xml:space="preserve">     </t>
    </r>
    <r>
      <rPr>
        <b/>
        <sz val="10"/>
        <color indexed="10"/>
        <rFont val="Arial"/>
        <family val="2"/>
      </rPr>
      <t>A.1)  Valor da passagem do transporte coletivo no município de
                prestação dos serviços</t>
    </r>
    <r>
      <rPr>
        <b/>
        <sz val="10"/>
        <rFont val="Arial"/>
        <family val="2"/>
      </rPr>
      <t xml:space="preserve"> (Decreto Municipal P. Fundo nº 113/2024)</t>
    </r>
  </si>
  <si>
    <t>Grupo 1</t>
  </si>
  <si>
    <t>Item 1</t>
  </si>
  <si>
    <t>Item 2</t>
  </si>
  <si>
    <t>Item 3</t>
  </si>
  <si>
    <r>
      <t xml:space="preserve">ANEXO XX </t>
    </r>
    <r>
      <rPr>
        <b/>
        <sz val="18"/>
        <color indexed="10"/>
        <rFont val="Arial"/>
        <family val="2"/>
      </rPr>
      <t>do Pregão Nº XX/202X-</t>
    </r>
    <r>
      <rPr>
        <b/>
        <sz val="18"/>
        <color indexed="12"/>
        <rFont val="Arial"/>
        <family val="2"/>
      </rPr>
      <t xml:space="preserve">COM PERI NO FIM
</t>
    </r>
    <r>
      <rPr>
        <b/>
        <sz val="16"/>
        <color indexed="12"/>
        <rFont val="Arial"/>
        <family val="2"/>
      </rPr>
      <t xml:space="preserve">Conta Vinculada - Com Intervalo Intrajornada
</t>
    </r>
    <r>
      <rPr>
        <b/>
        <sz val="18"/>
        <rFont val="Arial"/>
        <family val="2"/>
      </rPr>
      <t xml:space="preserve">MODELO DE PLANILHA DE CUSTOS E FORMAÇÃO DE PREÇOS </t>
    </r>
    <r>
      <rPr>
        <b/>
        <sz val="18"/>
        <color indexed="20"/>
        <rFont val="Arial"/>
        <family val="2"/>
      </rPr>
      <t xml:space="preserve"> </t>
    </r>
  </si>
  <si>
    <r>
      <t xml:space="preserve">ANEXO XX </t>
    </r>
    <r>
      <rPr>
        <b/>
        <sz val="18"/>
        <color indexed="10"/>
        <rFont val="Arial"/>
        <family val="2"/>
      </rPr>
      <t xml:space="preserve">do Pregão Nº XX/202X - </t>
    </r>
    <r>
      <rPr>
        <b/>
        <sz val="16"/>
        <color indexed="12"/>
        <rFont val="Arial"/>
        <family val="2"/>
      </rPr>
      <t xml:space="preserve">                  
</t>
    </r>
    <r>
      <rPr>
        <b/>
        <sz val="18"/>
        <rFont val="Arial"/>
        <family val="2"/>
      </rPr>
      <t xml:space="preserve">MODELO DE PLANILHA DE CUSTOS E FORMAÇÃO DE PREÇOS </t>
    </r>
    <r>
      <rPr>
        <b/>
        <sz val="18"/>
        <color indexed="20"/>
        <rFont val="Arial"/>
        <family val="2"/>
      </rPr>
      <t xml:space="preserve"> </t>
    </r>
  </si>
  <si>
    <r>
      <t xml:space="preserve">ANEXO XX </t>
    </r>
    <r>
      <rPr>
        <b/>
        <sz val="18"/>
        <color indexed="10"/>
        <rFont val="Arial"/>
        <family val="2"/>
      </rPr>
      <t>do Pregão Nº XX/202X</t>
    </r>
    <r>
      <rPr>
        <b/>
        <sz val="16"/>
        <color indexed="12"/>
        <rFont val="Arial"/>
        <family val="2"/>
      </rPr>
      <t xml:space="preserve">
</t>
    </r>
    <r>
      <rPr>
        <b/>
        <sz val="18"/>
        <rFont val="Arial"/>
        <family val="2"/>
      </rPr>
      <t xml:space="preserve">MODELO DE PLANILHA DE CUSTOS E FORMAÇÃO DE PREÇOS </t>
    </r>
    <r>
      <rPr>
        <b/>
        <sz val="18"/>
        <color indexed="20"/>
        <rFont val="Arial"/>
        <family val="2"/>
      </rPr>
      <t xml:space="preserve"> </t>
    </r>
  </si>
  <si>
    <t>INSUMOS DE USO GERAL  (Vigilante)</t>
  </si>
  <si>
    <t>EQUIPAMENTOS DE USO GERAL  - VIGILANTES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</si>
</sst>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(* #,##0.00_);_(* \(#,##0.00\);_(* \-??_);_(@_)"/>
    <numFmt numFmtId="165" formatCode="_(&quot;R$ &quot;* #,##0.00_);_(&quot;R$ &quot;* \(#,##0.00\);_(&quot;R$ &quot;* \-??_);_(@_)"/>
    <numFmt numFmtId="166" formatCode="&quot;R$ &quot;#,##0.00"/>
    <numFmt numFmtId="167" formatCode="0.0000"/>
    <numFmt numFmtId="168" formatCode="0.0000%"/>
    <numFmt numFmtId="169" formatCode="0.000%"/>
    <numFmt numFmtId="170" formatCode="0.0"/>
    <numFmt numFmtId="171" formatCode="0.0%"/>
  </numFmts>
  <fonts count="90" x14ac:knownFonts="1">
    <font>
      <sz val="10"/>
      <name val="Arial"/>
      <family val="2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9"/>
      <name val="Arial"/>
      <family val="2"/>
    </font>
    <font>
      <b/>
      <sz val="15"/>
      <color indexed="20"/>
      <name val="Arial"/>
      <family val="2"/>
    </font>
    <font>
      <b/>
      <sz val="18"/>
      <name val="Arial"/>
      <family val="2"/>
    </font>
    <font>
      <b/>
      <sz val="18"/>
      <color indexed="10"/>
      <name val="Arial"/>
      <family val="2"/>
    </font>
    <font>
      <b/>
      <sz val="18"/>
      <color indexed="12"/>
      <name val="Arial"/>
      <family val="2"/>
    </font>
    <font>
      <b/>
      <sz val="16"/>
      <color indexed="12"/>
      <name val="Arial"/>
      <family val="2"/>
    </font>
    <font>
      <b/>
      <sz val="18"/>
      <color indexed="2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sz val="12"/>
      <color indexed="10"/>
      <name val="Arial"/>
      <family val="2"/>
    </font>
    <font>
      <b/>
      <sz val="15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1"/>
      <color indexed="10"/>
      <name val="Arial"/>
      <family val="2"/>
    </font>
    <font>
      <b/>
      <sz val="9.5"/>
      <color indexed="12"/>
      <name val="Arial"/>
      <family val="2"/>
    </font>
    <font>
      <sz val="9"/>
      <color indexed="8"/>
      <name val="Arial"/>
      <family val="2"/>
    </font>
    <font>
      <b/>
      <sz val="12"/>
      <name val="Arial"/>
      <family val="2"/>
    </font>
    <font>
      <b/>
      <sz val="10"/>
      <color indexed="18"/>
      <name val="Arial"/>
      <family val="2"/>
    </font>
    <font>
      <b/>
      <sz val="14"/>
      <name val="Arial"/>
      <family val="2"/>
    </font>
    <font>
      <b/>
      <sz val="11"/>
      <color indexed="12"/>
      <name val="Arial"/>
      <family val="2"/>
    </font>
    <font>
      <sz val="10"/>
      <color indexed="8"/>
      <name val="Arial"/>
      <family val="2"/>
    </font>
    <font>
      <b/>
      <sz val="11"/>
      <color indexed="19"/>
      <name val="Arial"/>
      <family val="2"/>
    </font>
    <font>
      <b/>
      <sz val="9"/>
      <color indexed="10"/>
      <name val="Arial"/>
      <family val="2"/>
    </font>
    <font>
      <sz val="9"/>
      <color indexed="19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  <charset val="1"/>
    </font>
    <font>
      <b/>
      <sz val="10"/>
      <color indexed="38"/>
      <name val="Arial"/>
      <family val="2"/>
    </font>
    <font>
      <b/>
      <sz val="10"/>
      <color indexed="19"/>
      <name val="Arial"/>
      <family val="2"/>
    </font>
    <font>
      <b/>
      <sz val="14"/>
      <color indexed="12"/>
      <name val="Arial"/>
      <family val="2"/>
    </font>
    <font>
      <sz val="8.5"/>
      <color indexed="10"/>
      <name val="Arial"/>
      <family val="2"/>
    </font>
    <font>
      <sz val="9"/>
      <color indexed="10"/>
      <name val="Arial"/>
      <family val="2"/>
    </font>
    <font>
      <b/>
      <sz val="10"/>
      <color indexed="39"/>
      <name val="Arial"/>
      <family val="2"/>
    </font>
    <font>
      <b/>
      <sz val="9"/>
      <color indexed="39"/>
      <name val="Arial"/>
      <family val="2"/>
    </font>
    <font>
      <sz val="10"/>
      <color indexed="10"/>
      <name val="Arial"/>
      <family val="2"/>
    </font>
    <font>
      <b/>
      <sz val="14"/>
      <color indexed="10"/>
      <name val="Arial"/>
      <family val="2"/>
    </font>
    <font>
      <b/>
      <sz val="14"/>
      <color indexed="48"/>
      <name val="Arial"/>
      <family val="2"/>
    </font>
    <font>
      <b/>
      <sz val="16"/>
      <color indexed="10"/>
      <name val="Arial"/>
      <family val="2"/>
    </font>
    <font>
      <b/>
      <strike/>
      <sz val="11"/>
      <color indexed="25"/>
      <name val="Arial"/>
      <family val="2"/>
    </font>
    <font>
      <b/>
      <strike/>
      <sz val="10"/>
      <color indexed="25"/>
      <name val="Arial"/>
      <family val="2"/>
    </font>
    <font>
      <b/>
      <strike/>
      <sz val="10"/>
      <color indexed="10"/>
      <name val="Arial"/>
      <family val="2"/>
    </font>
    <font>
      <b/>
      <strike/>
      <sz val="9"/>
      <color indexed="10"/>
      <name val="Arial"/>
      <family val="2"/>
    </font>
    <font>
      <sz val="10"/>
      <name val="Arial"/>
      <family val="2"/>
    </font>
    <font>
      <b/>
      <sz val="8"/>
      <color indexed="12"/>
      <name val="Arial"/>
      <family val="2"/>
    </font>
    <font>
      <b/>
      <sz val="9"/>
      <color indexed="12"/>
      <name val="Arial"/>
      <family val="2"/>
    </font>
    <font>
      <b/>
      <sz val="10"/>
      <color indexed="30"/>
      <name val="Arial"/>
      <family val="2"/>
    </font>
    <font>
      <strike/>
      <sz val="9"/>
      <color indexed="8"/>
      <name val="Arial"/>
      <family val="2"/>
    </font>
    <font>
      <b/>
      <sz val="9"/>
      <name val="Arial"/>
      <family val="2"/>
    </font>
    <font>
      <b/>
      <sz val="7"/>
      <color indexed="10"/>
      <name val="Arial"/>
      <family val="2"/>
    </font>
    <font>
      <b/>
      <sz val="8"/>
      <color indexed="39"/>
      <name val="Arial"/>
      <family val="2"/>
    </font>
    <font>
      <b/>
      <strike/>
      <sz val="11"/>
      <color indexed="10"/>
      <name val="Arial"/>
      <family val="2"/>
    </font>
    <font>
      <b/>
      <sz val="8"/>
      <color indexed="30"/>
      <name val="Arial"/>
      <family val="2"/>
    </font>
    <font>
      <b/>
      <sz val="7"/>
      <color indexed="12"/>
      <name val="Arial"/>
      <family val="2"/>
    </font>
    <font>
      <b/>
      <u/>
      <sz val="8"/>
      <color indexed="10"/>
      <name val="Arial"/>
      <family val="2"/>
    </font>
    <font>
      <b/>
      <u/>
      <sz val="9"/>
      <color indexed="12"/>
      <name val="Arial"/>
      <family val="2"/>
    </font>
    <font>
      <b/>
      <u/>
      <sz val="9"/>
      <color indexed="10"/>
      <name val="Arial"/>
      <family val="2"/>
    </font>
    <font>
      <b/>
      <sz val="15"/>
      <color indexed="18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20"/>
      <name val="Arial"/>
      <family val="2"/>
    </font>
    <font>
      <u/>
      <sz val="10"/>
      <color theme="10"/>
      <name val="Arial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u/>
      <sz val="10"/>
      <color rgb="FF0070C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1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theme="7" tint="0.59999389629810485"/>
        <b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FFFF00"/>
        <bgColor indexed="22"/>
      </patternFill>
    </fill>
    <fill>
      <patternFill patternType="solid">
        <fgColor theme="5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n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/>
      <top style="thick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ck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/>
      <top style="hair">
        <color indexed="8"/>
      </top>
      <bottom style="hair">
        <color indexed="64"/>
      </bottom>
      <diagonal/>
    </border>
    <border>
      <left/>
      <right style="hair">
        <color indexed="64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ck">
        <color indexed="8"/>
      </bottom>
      <diagonal/>
    </border>
    <border>
      <left/>
      <right style="thin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0" fontId="81" fillId="0" borderId="0" applyNumberFormat="0" applyFill="0" applyBorder="0" applyAlignment="0" applyProtection="0"/>
    <xf numFmtId="0" fontId="9" fillId="3" borderId="0" applyNumberFormat="0" applyBorder="0" applyAlignment="0" applyProtection="0"/>
    <xf numFmtId="165" fontId="63" fillId="0" borderId="0" applyFill="0" applyBorder="0" applyAlignment="0" applyProtection="0"/>
    <xf numFmtId="0" fontId="10" fillId="22" borderId="0" applyNumberFormat="0" applyBorder="0" applyAlignment="0" applyProtection="0"/>
    <xf numFmtId="0" fontId="63" fillId="23" borderId="4" applyNumberFormat="0" applyAlignment="0" applyProtection="0"/>
    <xf numFmtId="9" fontId="1" fillId="0" borderId="0" applyFill="0" applyBorder="0" applyAlignment="0" applyProtection="0"/>
    <xf numFmtId="0" fontId="11" fillId="16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4" fillId="0" borderId="9" applyNumberFormat="0" applyFill="0" applyAlignment="0" applyProtection="0"/>
    <xf numFmtId="164" fontId="63" fillId="0" borderId="0" applyFill="0" applyBorder="0" applyAlignment="0" applyProtection="0"/>
  </cellStyleXfs>
  <cellXfs count="547">
    <xf numFmtId="0" fontId="0" fillId="0" borderId="0" xfId="0"/>
    <xf numFmtId="0" fontId="19" fillId="0" borderId="0" xfId="0" applyFont="1"/>
    <xf numFmtId="0" fontId="19" fillId="24" borderId="0" xfId="0" applyFont="1" applyFill="1"/>
    <xf numFmtId="0" fontId="26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6" fillId="22" borderId="1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/>
    </xf>
    <xf numFmtId="10" fontId="19" fillId="0" borderId="0" xfId="45" applyNumberFormat="1" applyFont="1" applyFill="1" applyBorder="1" applyAlignment="1" applyProtection="1">
      <alignment horizontal="center" vertical="center"/>
    </xf>
    <xf numFmtId="165" fontId="19" fillId="0" borderId="0" xfId="32" applyFont="1" applyFill="1" applyBorder="1" applyAlignment="1" applyProtection="1">
      <alignment vertical="center"/>
    </xf>
    <xf numFmtId="0" fontId="26" fillId="0" borderId="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/>
    </xf>
    <xf numFmtId="0" fontId="28" fillId="22" borderId="11" xfId="0" applyFont="1" applyFill="1" applyBorder="1" applyAlignment="1">
      <alignment horizontal="center" vertical="center" wrapText="1"/>
    </xf>
    <xf numFmtId="0" fontId="28" fillId="22" borderId="10" xfId="0" applyFont="1" applyFill="1" applyBorder="1" applyAlignment="1">
      <alignment horizontal="center" vertical="center" wrapText="1"/>
    </xf>
    <xf numFmtId="0" fontId="26" fillId="22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4" fontId="26" fillId="0" borderId="10" xfId="0" applyNumberFormat="1" applyFont="1" applyFill="1" applyBorder="1" applyAlignment="1">
      <alignment vertical="center"/>
    </xf>
    <xf numFmtId="10" fontId="26" fillId="0" borderId="10" xfId="0" applyNumberFormat="1" applyFont="1" applyFill="1" applyBorder="1" applyAlignment="1">
      <alignment horizontal="center" vertical="center"/>
    </xf>
    <xf numFmtId="4" fontId="26" fillId="0" borderId="10" xfId="0" applyNumberFormat="1" applyFont="1" applyFill="1" applyBorder="1" applyAlignment="1">
      <alignment horizontal="center" vertical="center"/>
    </xf>
    <xf numFmtId="4" fontId="19" fillId="0" borderId="0" xfId="0" applyNumberFormat="1" applyFont="1"/>
    <xf numFmtId="4" fontId="28" fillId="22" borderId="10" xfId="0" applyNumberFormat="1" applyFont="1" applyFill="1" applyBorder="1" applyAlignment="1">
      <alignment vertical="center"/>
    </xf>
    <xf numFmtId="4" fontId="40" fillId="22" borderId="10" xfId="0" applyNumberFormat="1" applyFont="1" applyFill="1" applyBorder="1" applyAlignment="1">
      <alignment horizontal="right" vertical="center" wrapText="1"/>
    </xf>
    <xf numFmtId="0" fontId="32" fillId="0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/>
    </xf>
    <xf numFmtId="4" fontId="33" fillId="22" borderId="10" xfId="0" applyNumberFormat="1" applyFont="1" applyFill="1" applyBorder="1" applyAlignment="1">
      <alignment horizontal="right" vertical="center"/>
    </xf>
    <xf numFmtId="0" fontId="19" fillId="0" borderId="0" xfId="0" applyFont="1" applyFill="1"/>
    <xf numFmtId="0" fontId="32" fillId="22" borderId="12" xfId="0" applyFont="1" applyFill="1" applyBorder="1" applyAlignment="1">
      <alignment horizontal="center" vertical="center"/>
    </xf>
    <xf numFmtId="0" fontId="32" fillId="22" borderId="10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/>
    </xf>
    <xf numFmtId="10" fontId="26" fillId="0" borderId="10" xfId="0" applyNumberFormat="1" applyFont="1" applyFill="1" applyBorder="1" applyAlignment="1">
      <alignment horizontal="right" vertical="center"/>
    </xf>
    <xf numFmtId="4" fontId="26" fillId="0" borderId="10" xfId="0" applyNumberFormat="1" applyFont="1" applyFill="1" applyBorder="1" applyAlignment="1">
      <alignment horizontal="right" vertical="center"/>
    </xf>
    <xf numFmtId="10" fontId="26" fillId="0" borderId="10" xfId="0" applyNumberFormat="1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 wrapText="1"/>
    </xf>
    <xf numFmtId="168" fontId="26" fillId="0" borderId="10" xfId="0" applyNumberFormat="1" applyFont="1" applyBorder="1" applyAlignment="1">
      <alignment horizontal="right" vertical="center"/>
    </xf>
    <xf numFmtId="168" fontId="26" fillId="22" borderId="10" xfId="0" applyNumberFormat="1" applyFont="1" applyFill="1" applyBorder="1" applyAlignment="1">
      <alignment horizontal="right" vertical="center"/>
    </xf>
    <xf numFmtId="4" fontId="26" fillId="22" borderId="10" xfId="0" applyNumberFormat="1" applyFont="1" applyFill="1" applyBorder="1" applyAlignment="1">
      <alignment horizontal="right" vertical="center"/>
    </xf>
    <xf numFmtId="0" fontId="26" fillId="25" borderId="12" xfId="0" applyFont="1" applyFill="1" applyBorder="1" applyAlignment="1">
      <alignment horizontal="right" vertical="center"/>
    </xf>
    <xf numFmtId="0" fontId="0" fillId="25" borderId="13" xfId="0" applyFill="1" applyBorder="1" applyAlignment="1">
      <alignment horizontal="right" vertical="center"/>
    </xf>
    <xf numFmtId="10" fontId="26" fillId="25" borderId="13" xfId="0" applyNumberFormat="1" applyFont="1" applyFill="1" applyBorder="1" applyAlignment="1">
      <alignment horizontal="right" vertical="center"/>
    </xf>
    <xf numFmtId="4" fontId="26" fillId="25" borderId="14" xfId="0" applyNumberFormat="1" applyFont="1" applyFill="1" applyBorder="1" applyAlignment="1">
      <alignment horizontal="right" vertical="center"/>
    </xf>
    <xf numFmtId="0" fontId="28" fillId="22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 vertical="center"/>
    </xf>
    <xf numFmtId="4" fontId="26" fillId="0" borderId="10" xfId="0" applyNumberFormat="1" applyFont="1" applyBorder="1" applyAlignment="1">
      <alignment horizontal="center" vertical="center"/>
    </xf>
    <xf numFmtId="4" fontId="27" fillId="0" borderId="10" xfId="0" applyNumberFormat="1" applyFont="1" applyBorder="1" applyAlignment="1">
      <alignment vertical="center"/>
    </xf>
    <xf numFmtId="3" fontId="27" fillId="0" borderId="10" xfId="0" applyNumberFormat="1" applyFont="1" applyBorder="1" applyAlignment="1">
      <alignment vertical="center"/>
    </xf>
    <xf numFmtId="10" fontId="27" fillId="0" borderId="12" xfId="0" applyNumberFormat="1" applyFont="1" applyBorder="1" applyAlignment="1">
      <alignment vertical="center"/>
    </xf>
    <xf numFmtId="4" fontId="26" fillId="0" borderId="10" xfId="0" applyNumberFormat="1" applyFont="1" applyBorder="1" applyAlignment="1" applyProtection="1">
      <alignment horizontal="right" vertical="center"/>
      <protection locked="0"/>
    </xf>
    <xf numFmtId="4" fontId="26" fillId="0" borderId="10" xfId="0" applyNumberFormat="1" applyFont="1" applyBorder="1" applyAlignment="1">
      <alignment horizontal="right" vertical="center" wrapText="1"/>
    </xf>
    <xf numFmtId="0" fontId="26" fillId="22" borderId="10" xfId="0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center" vertical="center" wrapText="1"/>
    </xf>
    <xf numFmtId="4" fontId="47" fillId="0" borderId="10" xfId="0" applyNumberFormat="1" applyFont="1" applyFill="1" applyBorder="1" applyAlignment="1">
      <alignment horizontal="right" vertical="center" wrapText="1"/>
    </xf>
    <xf numFmtId="4" fontId="47" fillId="22" borderId="10" xfId="0" applyNumberFormat="1" applyFont="1" applyFill="1" applyBorder="1" applyAlignment="1">
      <alignment horizontal="right" vertical="center" wrapText="1"/>
    </xf>
    <xf numFmtId="0" fontId="41" fillId="0" borderId="10" xfId="0" applyFont="1" applyFill="1" applyBorder="1" applyAlignment="1">
      <alignment horizontal="right" vertical="center" wrapText="1"/>
    </xf>
    <xf numFmtId="4" fontId="41" fillId="0" borderId="10" xfId="0" applyNumberFormat="1" applyFont="1" applyFill="1" applyBorder="1" applyAlignment="1">
      <alignment horizontal="left" vertical="center" wrapText="1"/>
    </xf>
    <xf numFmtId="4" fontId="38" fillId="0" borderId="10" xfId="0" applyNumberFormat="1" applyFont="1" applyFill="1" applyBorder="1" applyAlignment="1">
      <alignment horizontal="right" vertical="center" wrapText="1"/>
    </xf>
    <xf numFmtId="0" fontId="28" fillId="22" borderId="10" xfId="0" applyFont="1" applyFill="1" applyBorder="1" applyAlignment="1">
      <alignment horizontal="center"/>
    </xf>
    <xf numFmtId="0" fontId="32" fillId="22" borderId="10" xfId="0" applyFont="1" applyFill="1" applyBorder="1" applyAlignment="1">
      <alignment horizontal="center" vertical="center"/>
    </xf>
    <xf numFmtId="4" fontId="32" fillId="22" borderId="10" xfId="0" applyNumberFormat="1" applyFont="1" applyFill="1" applyBorder="1" applyAlignment="1">
      <alignment horizontal="center" vertical="center"/>
    </xf>
    <xf numFmtId="4" fontId="33" fillId="0" borderId="10" xfId="0" applyNumberFormat="1" applyFont="1" applyFill="1" applyBorder="1" applyAlignment="1">
      <alignment horizontal="right" vertical="center"/>
    </xf>
    <xf numFmtId="0" fontId="33" fillId="0" borderId="10" xfId="0" applyFont="1" applyFill="1" applyBorder="1" applyAlignment="1">
      <alignment horizontal="center" vertical="center" wrapText="1"/>
    </xf>
    <xf numFmtId="4" fontId="26" fillId="22" borderId="10" xfId="0" applyNumberFormat="1" applyFont="1" applyFill="1" applyBorder="1" applyAlignment="1">
      <alignment horizontal="right" vertical="center" wrapText="1"/>
    </xf>
    <xf numFmtId="0" fontId="40" fillId="25" borderId="12" xfId="0" applyFont="1" applyFill="1" applyBorder="1" applyAlignment="1">
      <alignment horizontal="center" vertical="center"/>
    </xf>
    <xf numFmtId="0" fontId="0" fillId="25" borderId="13" xfId="0" applyFill="1" applyBorder="1" applyAlignment="1">
      <alignment horizontal="center" vertical="center"/>
    </xf>
    <xf numFmtId="0" fontId="0" fillId="25" borderId="14" xfId="0" applyFill="1" applyBorder="1" applyAlignment="1">
      <alignment horizontal="center" vertical="center"/>
    </xf>
    <xf numFmtId="4" fontId="28" fillId="22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/>
    </xf>
    <xf numFmtId="4" fontId="27" fillId="0" borderId="10" xfId="0" applyNumberFormat="1" applyFont="1" applyFill="1" applyBorder="1" applyAlignment="1">
      <alignment horizontal="right" vertical="center"/>
    </xf>
    <xf numFmtId="10" fontId="27" fillId="0" borderId="10" xfId="0" applyNumberFormat="1" applyFont="1" applyBorder="1" applyAlignment="1">
      <alignment horizontal="center" vertical="center"/>
    </xf>
    <xf numFmtId="0" fontId="38" fillId="0" borderId="10" xfId="0" applyFont="1" applyFill="1" applyBorder="1" applyAlignment="1">
      <alignment horizontal="center" vertical="center"/>
    </xf>
    <xf numFmtId="10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Fill="1" applyBorder="1"/>
    <xf numFmtId="10" fontId="26" fillId="0" borderId="10" xfId="0" applyNumberFormat="1" applyFont="1" applyBorder="1" applyAlignment="1">
      <alignment horizontal="center" vertical="center" wrapText="1"/>
    </xf>
    <xf numFmtId="10" fontId="26" fillId="0" borderId="10" xfId="0" applyNumberFormat="1" applyFont="1" applyBorder="1" applyAlignment="1">
      <alignment horizontal="center" wrapText="1"/>
    </xf>
    <xf numFmtId="4" fontId="26" fillId="0" borderId="10" xfId="0" applyNumberFormat="1" applyFont="1" applyFill="1" applyBorder="1" applyAlignment="1">
      <alignment horizontal="center"/>
    </xf>
    <xf numFmtId="10" fontId="27" fillId="0" borderId="10" xfId="0" applyNumberFormat="1" applyFont="1" applyBorder="1" applyAlignment="1">
      <alignment horizontal="right" vertical="center"/>
    </xf>
    <xf numFmtId="4" fontId="27" fillId="0" borderId="10" xfId="0" applyNumberFormat="1" applyFont="1" applyBorder="1" applyAlignment="1">
      <alignment horizontal="right" vertical="center"/>
    </xf>
    <xf numFmtId="0" fontId="19" fillId="22" borderId="0" xfId="0" applyFont="1" applyFill="1"/>
    <xf numFmtId="49" fontId="26" fillId="0" borderId="10" xfId="0" applyNumberFormat="1" applyFont="1" applyBorder="1" applyAlignment="1">
      <alignment horizontal="center" vertical="center" wrapText="1"/>
    </xf>
    <xf numFmtId="49" fontId="26" fillId="0" borderId="12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164" fontId="19" fillId="0" borderId="0" xfId="0" applyNumberFormat="1" applyFont="1"/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vertical="center"/>
    </xf>
    <xf numFmtId="3" fontId="26" fillId="0" borderId="10" xfId="0" applyNumberFormat="1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left" vertical="center" wrapText="1"/>
    </xf>
    <xf numFmtId="164" fontId="27" fillId="0" borderId="0" xfId="0" applyNumberFormat="1" applyFont="1" applyBorder="1" applyAlignment="1">
      <alignment horizontal="left"/>
    </xf>
    <xf numFmtId="164" fontId="27" fillId="24" borderId="0" xfId="0" applyNumberFormat="1" applyFont="1" applyFill="1" applyBorder="1" applyAlignment="1">
      <alignment horizontal="left"/>
    </xf>
    <xf numFmtId="0" fontId="28" fillId="0" borderId="10" xfId="0" applyFont="1" applyFill="1" applyBorder="1" applyAlignment="1">
      <alignment horizontal="center" vertical="center"/>
    </xf>
    <xf numFmtId="10" fontId="32" fillId="0" borderId="10" xfId="0" applyNumberFormat="1" applyFont="1" applyFill="1" applyBorder="1" applyAlignment="1">
      <alignment horizontal="center" vertical="center"/>
    </xf>
    <xf numFmtId="2" fontId="33" fillId="0" borderId="10" xfId="0" applyNumberFormat="1" applyFont="1" applyFill="1" applyBorder="1" applyAlignment="1">
      <alignment horizontal="right" vertical="center" wrapText="1"/>
    </xf>
    <xf numFmtId="0" fontId="41" fillId="25" borderId="10" xfId="0" applyFont="1" applyFill="1" applyBorder="1" applyAlignment="1">
      <alignment vertical="center" wrapText="1"/>
    </xf>
    <xf numFmtId="0" fontId="41" fillId="25" borderId="10" xfId="0" applyFont="1" applyFill="1" applyBorder="1" applyAlignment="1">
      <alignment horizontal="justify" vertical="center" wrapText="1"/>
    </xf>
    <xf numFmtId="10" fontId="50" fillId="0" borderId="10" xfId="0" applyNumberFormat="1" applyFont="1" applyFill="1" applyBorder="1" applyAlignment="1">
      <alignment horizontal="right" vertical="center"/>
    </xf>
    <xf numFmtId="169" fontId="32" fillId="0" borderId="10" xfId="0" applyNumberFormat="1" applyFont="1" applyFill="1" applyBorder="1" applyAlignment="1">
      <alignment horizontal="center" vertical="center"/>
    </xf>
    <xf numFmtId="10" fontId="32" fillId="0" borderId="10" xfId="0" applyNumberFormat="1" applyFont="1" applyFill="1" applyBorder="1" applyAlignment="1">
      <alignment horizontal="center" vertical="center" wrapText="1"/>
    </xf>
    <xf numFmtId="169" fontId="28" fillId="0" borderId="10" xfId="0" applyNumberFormat="1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4" fontId="28" fillId="22" borderId="15" xfId="0" applyNumberFormat="1" applyFont="1" applyFill="1" applyBorder="1" applyAlignment="1">
      <alignment vertical="center"/>
    </xf>
    <xf numFmtId="0" fontId="26" fillId="0" borderId="11" xfId="0" applyFont="1" applyBorder="1" applyAlignment="1">
      <alignment horizontal="center" vertical="center" wrapText="1"/>
    </xf>
    <xf numFmtId="4" fontId="26" fillId="0" borderId="11" xfId="0" applyNumberFormat="1" applyFont="1" applyFill="1" applyBorder="1" applyAlignment="1">
      <alignment vertical="center"/>
    </xf>
    <xf numFmtId="10" fontId="33" fillId="0" borderId="16" xfId="0" applyNumberFormat="1" applyFont="1" applyFill="1" applyBorder="1" applyAlignment="1">
      <alignment horizontal="center" vertical="center"/>
    </xf>
    <xf numFmtId="2" fontId="33" fillId="0" borderId="10" xfId="0" applyNumberFormat="1" applyFont="1" applyFill="1" applyBorder="1" applyAlignment="1">
      <alignment horizontal="right" vertical="center"/>
    </xf>
    <xf numFmtId="169" fontId="26" fillId="0" borderId="16" xfId="0" applyNumberFormat="1" applyFont="1" applyFill="1" applyBorder="1" applyAlignment="1">
      <alignment horizontal="center" vertical="center"/>
    </xf>
    <xf numFmtId="10" fontId="40" fillId="0" borderId="16" xfId="0" applyNumberFormat="1" applyFont="1" applyFill="1" applyBorder="1" applyAlignment="1">
      <alignment horizontal="center" vertical="center" wrapText="1"/>
    </xf>
    <xf numFmtId="0" fontId="50" fillId="25" borderId="10" xfId="0" applyFont="1" applyFill="1" applyBorder="1" applyAlignment="1">
      <alignment horizontal="center" vertical="center" wrapText="1"/>
    </xf>
    <xf numFmtId="169" fontId="38" fillId="0" borderId="10" xfId="0" applyNumberFormat="1" applyFont="1" applyFill="1" applyBorder="1" applyAlignment="1">
      <alignment horizontal="center" vertical="center" wrapText="1"/>
    </xf>
    <xf numFmtId="10" fontId="38" fillId="0" borderId="10" xfId="0" applyNumberFormat="1" applyFont="1" applyFill="1" applyBorder="1" applyAlignment="1">
      <alignment horizontal="center" vertical="center" wrapText="1"/>
    </xf>
    <xf numFmtId="0" fontId="19" fillId="26" borderId="0" xfId="0" applyFont="1" applyFill="1"/>
    <xf numFmtId="164" fontId="0" fillId="0" borderId="0" xfId="45" applyFont="1" applyFill="1" applyBorder="1" applyAlignment="1" applyProtection="1">
      <alignment horizontal="right" vertical="center"/>
    </xf>
    <xf numFmtId="0" fontId="0" fillId="26" borderId="0" xfId="0" applyFill="1"/>
    <xf numFmtId="0" fontId="19" fillId="27" borderId="0" xfId="0" applyFont="1" applyFill="1"/>
    <xf numFmtId="165" fontId="82" fillId="0" borderId="10" xfId="32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42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2" fillId="0" borderId="16" xfId="0" applyFont="1" applyBorder="1" applyAlignment="1">
      <alignment vertical="center" wrapText="1"/>
    </xf>
    <xf numFmtId="170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Font="1" applyFill="1" applyBorder="1" applyAlignment="1">
      <alignment horizontal="center" vertical="center"/>
    </xf>
    <xf numFmtId="1" fontId="0" fillId="0" borderId="18" xfId="0" applyNumberFormat="1" applyFont="1" applyFill="1" applyBorder="1" applyAlignment="1">
      <alignment horizontal="center" vertical="center"/>
    </xf>
    <xf numFmtId="164" fontId="63" fillId="0" borderId="18" xfId="45" applyFill="1" applyBorder="1" applyAlignment="1" applyProtection="1">
      <alignment horizontal="center" vertical="center"/>
    </xf>
    <xf numFmtId="0" fontId="0" fillId="26" borderId="0" xfId="0" applyFill="1" applyAlignment="1">
      <alignment vertical="center"/>
    </xf>
    <xf numFmtId="0" fontId="0" fillId="26" borderId="0" xfId="0" applyFill="1" applyAlignment="1">
      <alignment horizontal="center" vertical="center"/>
    </xf>
    <xf numFmtId="164" fontId="63" fillId="26" borderId="0" xfId="45" applyFont="1" applyFill="1" applyBorder="1" applyAlignment="1" applyProtection="1">
      <alignment horizontal="right" vertical="center"/>
    </xf>
    <xf numFmtId="170" fontId="0" fillId="26" borderId="16" xfId="0" applyNumberFormat="1" applyFill="1" applyBorder="1" applyAlignment="1">
      <alignment horizontal="center" vertical="center"/>
    </xf>
    <xf numFmtId="4" fontId="0" fillId="26" borderId="0" xfId="0" applyNumberFormat="1" applyFill="1" applyAlignment="1">
      <alignment vertical="center"/>
    </xf>
    <xf numFmtId="0" fontId="83" fillId="26" borderId="16" xfId="0" applyFont="1" applyFill="1" applyBorder="1" applyAlignment="1">
      <alignment vertical="center" wrapText="1"/>
    </xf>
    <xf numFmtId="0" fontId="0" fillId="26" borderId="16" xfId="0" applyFont="1" applyFill="1" applyBorder="1" applyAlignment="1">
      <alignment horizontal="center" vertical="center"/>
    </xf>
    <xf numFmtId="0" fontId="84" fillId="26" borderId="16" xfId="0" applyFont="1" applyFill="1" applyBorder="1" applyAlignment="1">
      <alignment horizontal="center" vertical="center"/>
    </xf>
    <xf numFmtId="0" fontId="0" fillId="26" borderId="16" xfId="0" applyFont="1" applyFill="1" applyBorder="1" applyAlignment="1">
      <alignment vertical="center" wrapText="1"/>
    </xf>
    <xf numFmtId="170" fontId="0" fillId="26" borderId="16" xfId="0" applyNumberFormat="1" applyFont="1" applyFill="1" applyBorder="1" applyAlignment="1">
      <alignment horizontal="center" vertical="center"/>
    </xf>
    <xf numFmtId="0" fontId="0" fillId="26" borderId="18" xfId="0" applyFont="1" applyFill="1" applyBorder="1" applyAlignment="1">
      <alignment vertical="center" wrapText="1"/>
    </xf>
    <xf numFmtId="0" fontId="0" fillId="26" borderId="18" xfId="0" applyFont="1" applyFill="1" applyBorder="1" applyAlignment="1">
      <alignment horizontal="center" vertical="center"/>
    </xf>
    <xf numFmtId="0" fontId="84" fillId="26" borderId="18" xfId="0" applyFont="1" applyFill="1" applyBorder="1" applyAlignment="1">
      <alignment horizontal="center" vertical="center"/>
    </xf>
    <xf numFmtId="170" fontId="0" fillId="26" borderId="18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Font="1" applyFill="1" applyBorder="1" applyAlignment="1">
      <alignment horizontal="center" vertical="center"/>
    </xf>
    <xf numFmtId="164" fontId="63" fillId="0" borderId="20" xfId="45" applyFill="1" applyBorder="1" applyAlignment="1" applyProtection="1">
      <alignment horizontal="center" vertical="center"/>
    </xf>
    <xf numFmtId="0" fontId="83" fillId="0" borderId="16" xfId="0" applyFont="1" applyFill="1" applyBorder="1" applyAlignment="1">
      <alignment horizontal="center" vertical="center" wrapText="1"/>
    </xf>
    <xf numFmtId="1" fontId="0" fillId="0" borderId="16" xfId="0" applyNumberFormat="1" applyFont="1" applyFill="1" applyBorder="1" applyAlignment="1">
      <alignment horizontal="center" vertical="center"/>
    </xf>
    <xf numFmtId="164" fontId="63" fillId="0" borderId="16" xfId="45" applyFill="1" applyBorder="1" applyAlignment="1" applyProtection="1">
      <alignment horizontal="center" vertical="center"/>
    </xf>
    <xf numFmtId="4" fontId="26" fillId="26" borderId="0" xfId="0" applyNumberFormat="1" applyFont="1" applyFill="1" applyAlignment="1">
      <alignment vertical="center"/>
    </xf>
    <xf numFmtId="4" fontId="39" fillId="26" borderId="0" xfId="0" applyNumberFormat="1" applyFont="1" applyFill="1" applyAlignment="1">
      <alignment horizontal="right" vertical="center"/>
    </xf>
    <xf numFmtId="0" fontId="83" fillId="26" borderId="18" xfId="0" applyFont="1" applyFill="1" applyBorder="1" applyAlignment="1">
      <alignment vertical="center" wrapText="1"/>
    </xf>
    <xf numFmtId="0" fontId="84" fillId="0" borderId="18" xfId="0" applyFont="1" applyFill="1" applyBorder="1" applyAlignment="1">
      <alignment horizontal="center" vertical="center"/>
    </xf>
    <xf numFmtId="170" fontId="0" fillId="0" borderId="18" xfId="0" applyNumberFormat="1" applyFont="1" applyFill="1" applyBorder="1" applyAlignment="1">
      <alignment horizontal="center" vertical="center"/>
    </xf>
    <xf numFmtId="164" fontId="63" fillId="0" borderId="16" xfId="45" applyFill="1" applyBorder="1" applyAlignment="1" applyProtection="1">
      <alignment horizontal="right" vertical="center"/>
    </xf>
    <xf numFmtId="4" fontId="63" fillId="0" borderId="10" xfId="45" applyNumberFormat="1" applyBorder="1" applyAlignment="1">
      <alignment horizontal="right" vertical="center" wrapText="1"/>
    </xf>
    <xf numFmtId="4" fontId="26" fillId="26" borderId="10" xfId="0" applyNumberFormat="1" applyFont="1" applyFill="1" applyBorder="1" applyAlignment="1">
      <alignment horizontal="right" vertical="center"/>
    </xf>
    <xf numFmtId="4" fontId="26" fillId="26" borderId="10" xfId="0" applyNumberFormat="1" applyFont="1" applyFill="1" applyBorder="1" applyAlignment="1">
      <alignment horizontal="right" vertical="center" wrapText="1"/>
    </xf>
    <xf numFmtId="164" fontId="63" fillId="26" borderId="0" xfId="45" applyFont="1" applyFill="1" applyBorder="1" applyAlignment="1" applyProtection="1">
      <alignment horizontal="right" vertical="center"/>
    </xf>
    <xf numFmtId="164" fontId="78" fillId="0" borderId="0" xfId="45" applyFont="1"/>
    <xf numFmtId="164" fontId="78" fillId="0" borderId="0" xfId="45" applyFont="1" applyAlignment="1">
      <alignment vertical="center"/>
    </xf>
    <xf numFmtId="0" fontId="0" fillId="28" borderId="0" xfId="0" applyFill="1"/>
    <xf numFmtId="0" fontId="0" fillId="29" borderId="0" xfId="0" applyFill="1"/>
    <xf numFmtId="0" fontId="40" fillId="0" borderId="0" xfId="0" applyFont="1"/>
    <xf numFmtId="4" fontId="26" fillId="30" borderId="16" xfId="0" applyNumberFormat="1" applyFont="1" applyFill="1" applyBorder="1" applyAlignment="1">
      <alignment vertical="center"/>
    </xf>
    <xf numFmtId="164" fontId="26" fillId="30" borderId="16" xfId="45" applyFont="1" applyFill="1" applyBorder="1" applyAlignment="1" applyProtection="1">
      <alignment vertical="center"/>
    </xf>
    <xf numFmtId="164" fontId="63" fillId="26" borderId="0" xfId="45" applyFont="1" applyFill="1" applyBorder="1" applyAlignment="1" applyProtection="1">
      <alignment horizontal="right" vertical="center"/>
    </xf>
    <xf numFmtId="0" fontId="0" fillId="26" borderId="21" xfId="0" applyFill="1" applyBorder="1" applyAlignment="1">
      <alignment vertical="center"/>
    </xf>
    <xf numFmtId="0" fontId="0" fillId="26" borderId="22" xfId="0" applyFill="1" applyBorder="1" applyAlignment="1">
      <alignment vertical="center"/>
    </xf>
    <xf numFmtId="0" fontId="0" fillId="26" borderId="0" xfId="0" applyFill="1" applyBorder="1" applyAlignment="1">
      <alignment vertical="center"/>
    </xf>
    <xf numFmtId="0" fontId="0" fillId="26" borderId="0" xfId="0" applyFill="1" applyBorder="1" applyAlignment="1">
      <alignment horizontal="center" vertical="center"/>
    </xf>
    <xf numFmtId="0" fontId="0" fillId="26" borderId="23" xfId="0" applyFill="1" applyBorder="1" applyAlignment="1">
      <alignment vertical="center"/>
    </xf>
    <xf numFmtId="0" fontId="0" fillId="26" borderId="24" xfId="0" applyFill="1" applyBorder="1" applyAlignment="1">
      <alignment vertical="center"/>
    </xf>
    <xf numFmtId="0" fontId="0" fillId="26" borderId="25" xfId="0" applyFill="1" applyBorder="1" applyAlignment="1">
      <alignment vertical="center"/>
    </xf>
    <xf numFmtId="0" fontId="77" fillId="30" borderId="22" xfId="0" applyFont="1" applyFill="1" applyBorder="1" applyAlignment="1">
      <alignment horizontal="center" vertical="center" wrapText="1"/>
    </xf>
    <xf numFmtId="164" fontId="26" fillId="30" borderId="22" xfId="45" applyFont="1" applyFill="1" applyBorder="1" applyAlignment="1" applyProtection="1">
      <alignment vertical="center"/>
    </xf>
    <xf numFmtId="164" fontId="34" fillId="30" borderId="22" xfId="45" applyFont="1" applyFill="1" applyBorder="1" applyAlignment="1" applyProtection="1">
      <alignment vertical="center"/>
    </xf>
    <xf numFmtId="4" fontId="26" fillId="26" borderId="24" xfId="0" applyNumberFormat="1" applyFont="1" applyFill="1" applyBorder="1" applyAlignment="1">
      <alignment vertical="center"/>
    </xf>
    <xf numFmtId="4" fontId="39" fillId="26" borderId="24" xfId="0" applyNumberFormat="1" applyFont="1" applyFill="1" applyBorder="1" applyAlignment="1">
      <alignment horizontal="right" vertical="center"/>
    </xf>
    <xf numFmtId="164" fontId="63" fillId="26" borderId="24" xfId="45" applyFont="1" applyFill="1" applyBorder="1" applyAlignment="1" applyProtection="1">
      <alignment horizontal="right" vertical="center"/>
    </xf>
    <xf numFmtId="4" fontId="26" fillId="31" borderId="16" xfId="32" applyNumberFormat="1" applyFont="1" applyFill="1" applyBorder="1" applyAlignment="1" applyProtection="1">
      <alignment horizontal="right" vertical="center"/>
    </xf>
    <xf numFmtId="4" fontId="26" fillId="31" borderId="16" xfId="45" applyNumberFormat="1" applyFont="1" applyFill="1" applyBorder="1" applyAlignment="1" applyProtection="1">
      <alignment horizontal="right" vertical="center"/>
    </xf>
    <xf numFmtId="4" fontId="26" fillId="31" borderId="26" xfId="0" applyNumberFormat="1" applyFont="1" applyFill="1" applyBorder="1" applyAlignment="1">
      <alignment vertical="center"/>
    </xf>
    <xf numFmtId="4" fontId="26" fillId="31" borderId="16" xfId="0" applyNumberFormat="1" applyFont="1" applyFill="1" applyBorder="1" applyAlignment="1">
      <alignment vertical="center"/>
    </xf>
    <xf numFmtId="0" fontId="0" fillId="26" borderId="21" xfId="0" applyFont="1" applyFill="1" applyBorder="1" applyAlignment="1">
      <alignment vertical="center"/>
    </xf>
    <xf numFmtId="0" fontId="0" fillId="26" borderId="0" xfId="0" applyFont="1" applyFill="1" applyBorder="1" applyAlignment="1">
      <alignment vertical="center"/>
    </xf>
    <xf numFmtId="0" fontId="0" fillId="26" borderId="22" xfId="0" applyFont="1" applyFill="1" applyBorder="1" applyAlignment="1">
      <alignment vertical="center"/>
    </xf>
    <xf numFmtId="0" fontId="26" fillId="31" borderId="16" xfId="0" applyFont="1" applyFill="1" applyBorder="1" applyAlignment="1">
      <alignment horizontal="center" vertical="center" wrapText="1"/>
    </xf>
    <xf numFmtId="164" fontId="26" fillId="31" borderId="16" xfId="45" applyFont="1" applyFill="1" applyBorder="1" applyAlignment="1" applyProtection="1">
      <alignment horizontal="center" vertical="center" wrapText="1"/>
    </xf>
    <xf numFmtId="0" fontId="26" fillId="31" borderId="27" xfId="0" applyFont="1" applyFill="1" applyBorder="1" applyAlignment="1">
      <alignment horizontal="center" vertical="center" wrapText="1"/>
    </xf>
    <xf numFmtId="164" fontId="26" fillId="31" borderId="27" xfId="45" applyFont="1" applyFill="1" applyBorder="1" applyAlignment="1" applyProtection="1">
      <alignment horizontal="center" vertical="center" wrapText="1"/>
    </xf>
    <xf numFmtId="4" fontId="26" fillId="31" borderId="26" xfId="45" applyNumberFormat="1" applyFont="1" applyFill="1" applyBorder="1" applyAlignment="1" applyProtection="1">
      <alignment horizontal="right" vertical="center"/>
    </xf>
    <xf numFmtId="164" fontId="26" fillId="31" borderId="16" xfId="45" applyFont="1" applyFill="1" applyBorder="1" applyAlignment="1" applyProtection="1">
      <alignment vertical="center"/>
    </xf>
    <xf numFmtId="0" fontId="38" fillId="31" borderId="16" xfId="0" applyFont="1" applyFill="1" applyBorder="1" applyAlignment="1">
      <alignment horizontal="left" vertical="center" wrapText="1"/>
    </xf>
    <xf numFmtId="0" fontId="38" fillId="31" borderId="16" xfId="0" applyFont="1" applyFill="1" applyBorder="1" applyAlignment="1">
      <alignment horizontal="center" vertical="center"/>
    </xf>
    <xf numFmtId="0" fontId="38" fillId="31" borderId="16" xfId="0" applyFont="1" applyFill="1" applyBorder="1" applyAlignment="1">
      <alignment horizontal="center" vertical="center" wrapText="1"/>
    </xf>
    <xf numFmtId="0" fontId="68" fillId="30" borderId="16" xfId="0" applyFont="1" applyFill="1" applyBorder="1" applyAlignment="1">
      <alignment horizontal="center" vertical="center" wrapText="1"/>
    </xf>
    <xf numFmtId="164" fontId="68" fillId="30" borderId="16" xfId="45" applyFont="1" applyFill="1" applyBorder="1" applyAlignment="1" applyProtection="1">
      <alignment horizontal="center" vertical="center" wrapText="1"/>
    </xf>
    <xf numFmtId="166" fontId="26" fillId="0" borderId="10" xfId="0" applyNumberFormat="1" applyFont="1" applyFill="1" applyBorder="1" applyAlignment="1">
      <alignment vertical="center" wrapText="1"/>
    </xf>
    <xf numFmtId="166" fontId="85" fillId="26" borderId="10" xfId="0" applyNumberFormat="1" applyFont="1" applyFill="1" applyBorder="1" applyAlignment="1">
      <alignment vertical="center" wrapText="1"/>
    </xf>
    <xf numFmtId="0" fontId="19" fillId="26" borderId="28" xfId="0" applyFont="1" applyFill="1" applyBorder="1"/>
    <xf numFmtId="0" fontId="19" fillId="26" borderId="29" xfId="0" applyFont="1" applyFill="1" applyBorder="1"/>
    <xf numFmtId="0" fontId="19" fillId="27" borderId="30" xfId="0" applyFont="1" applyFill="1" applyBorder="1"/>
    <xf numFmtId="164" fontId="68" fillId="30" borderId="31" xfId="45" applyFont="1" applyFill="1" applyBorder="1" applyAlignment="1" applyProtection="1">
      <alignment horizontal="center" vertical="center" wrapText="1"/>
    </xf>
    <xf numFmtId="0" fontId="83" fillId="26" borderId="32" xfId="0" applyFont="1" applyFill="1" applyBorder="1" applyAlignment="1">
      <alignment horizontal="center" vertical="center" wrapText="1"/>
    </xf>
    <xf numFmtId="164" fontId="63" fillId="0" borderId="31" xfId="45" applyFill="1" applyBorder="1" applyAlignment="1" applyProtection="1">
      <alignment horizontal="right" vertical="center"/>
    </xf>
    <xf numFmtId="4" fontId="26" fillId="31" borderId="31" xfId="32" applyNumberFormat="1" applyFont="1" applyFill="1" applyBorder="1" applyAlignment="1" applyProtection="1">
      <alignment horizontal="right" vertical="center"/>
    </xf>
    <xf numFmtId="4" fontId="26" fillId="31" borderId="31" xfId="45" applyNumberFormat="1" applyFont="1" applyFill="1" applyBorder="1" applyAlignment="1" applyProtection="1">
      <alignment horizontal="right" vertical="center"/>
    </xf>
    <xf numFmtId="4" fontId="26" fillId="31" borderId="31" xfId="0" applyNumberFormat="1" applyFont="1" applyFill="1" applyBorder="1" applyAlignment="1">
      <alignment vertical="center"/>
    </xf>
    <xf numFmtId="0" fontId="26" fillId="22" borderId="10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26" borderId="33" xfId="0" applyFill="1" applyBorder="1" applyAlignment="1">
      <alignment horizontal="center"/>
    </xf>
    <xf numFmtId="0" fontId="0" fillId="26" borderId="34" xfId="0" applyFill="1" applyBorder="1"/>
    <xf numFmtId="0" fontId="0" fillId="26" borderId="35" xfId="0" applyFill="1" applyBorder="1" applyAlignment="1">
      <alignment horizontal="center" vertical="center"/>
    </xf>
    <xf numFmtId="0" fontId="0" fillId="26" borderId="36" xfId="0" applyFill="1" applyBorder="1" applyAlignment="1">
      <alignment horizontal="center" vertical="center"/>
    </xf>
    <xf numFmtId="0" fontId="0" fillId="26" borderId="37" xfId="0" applyFill="1" applyBorder="1" applyAlignment="1">
      <alignment horizontal="center" vertical="center"/>
    </xf>
    <xf numFmtId="0" fontId="0" fillId="26" borderId="34" xfId="0" applyFill="1" applyBorder="1" applyAlignment="1">
      <alignment horizontal="center" vertical="center"/>
    </xf>
    <xf numFmtId="0" fontId="0" fillId="26" borderId="38" xfId="0" applyFill="1" applyBorder="1" applyAlignment="1">
      <alignment horizontal="center" vertical="center"/>
    </xf>
    <xf numFmtId="0" fontId="0" fillId="26" borderId="39" xfId="0" applyFill="1" applyBorder="1" applyAlignment="1">
      <alignment horizontal="center"/>
    </xf>
    <xf numFmtId="0" fontId="0" fillId="26" borderId="40" xfId="0" applyFill="1" applyBorder="1"/>
    <xf numFmtId="0" fontId="0" fillId="26" borderId="41" xfId="0" applyFill="1" applyBorder="1" applyAlignment="1">
      <alignment horizontal="center" vertical="center"/>
    </xf>
    <xf numFmtId="0" fontId="0" fillId="26" borderId="42" xfId="0" applyFill="1" applyBorder="1" applyAlignment="1">
      <alignment horizontal="center" vertical="center"/>
    </xf>
    <xf numFmtId="0" fontId="0" fillId="26" borderId="43" xfId="0" applyFill="1" applyBorder="1" applyAlignment="1">
      <alignment horizontal="center" vertical="center"/>
    </xf>
    <xf numFmtId="0" fontId="0" fillId="26" borderId="40" xfId="0" applyFill="1" applyBorder="1" applyAlignment="1">
      <alignment horizontal="center" vertical="center"/>
    </xf>
    <xf numFmtId="0" fontId="0" fillId="26" borderId="44" xfId="0" applyFill="1" applyBorder="1" applyAlignment="1">
      <alignment horizontal="center" vertical="center"/>
    </xf>
    <xf numFmtId="0" fontId="0" fillId="26" borderId="45" xfId="0" applyFill="1" applyBorder="1" applyAlignment="1">
      <alignment horizontal="center"/>
    </xf>
    <xf numFmtId="0" fontId="0" fillId="26" borderId="46" xfId="0" applyFill="1" applyBorder="1"/>
    <xf numFmtId="0" fontId="0" fillId="26" borderId="47" xfId="0" applyFill="1" applyBorder="1" applyAlignment="1">
      <alignment horizontal="center" vertical="center"/>
    </xf>
    <xf numFmtId="0" fontId="0" fillId="26" borderId="48" xfId="0" applyFill="1" applyBorder="1" applyAlignment="1">
      <alignment horizontal="center" vertical="center"/>
    </xf>
    <xf numFmtId="0" fontId="0" fillId="26" borderId="49" xfId="0" applyFill="1" applyBorder="1" applyAlignment="1">
      <alignment horizontal="center" vertical="center"/>
    </xf>
    <xf numFmtId="0" fontId="0" fillId="26" borderId="46" xfId="0" applyFill="1" applyBorder="1" applyAlignment="1">
      <alignment horizontal="center" vertical="center"/>
    </xf>
    <xf numFmtId="0" fontId="0" fillId="26" borderId="50" xfId="0" applyFill="1" applyBorder="1" applyAlignment="1">
      <alignment horizontal="center" vertical="center"/>
    </xf>
    <xf numFmtId="0" fontId="0" fillId="26" borderId="0" xfId="0" applyFill="1" applyAlignment="1">
      <alignment horizontal="left"/>
    </xf>
    <xf numFmtId="0" fontId="0" fillId="32" borderId="51" xfId="0" applyFill="1" applyBorder="1" applyAlignment="1">
      <alignment horizontal="center" vertical="center"/>
    </xf>
    <xf numFmtId="0" fontId="0" fillId="32" borderId="52" xfId="0" applyFill="1" applyBorder="1" applyAlignment="1">
      <alignment horizontal="center" vertical="center"/>
    </xf>
    <xf numFmtId="0" fontId="0" fillId="32" borderId="53" xfId="0" applyFill="1" applyBorder="1" applyAlignment="1">
      <alignment horizontal="center" vertical="center"/>
    </xf>
    <xf numFmtId="0" fontId="0" fillId="32" borderId="54" xfId="0" applyFill="1" applyBorder="1" applyAlignment="1">
      <alignment horizontal="center" vertical="center"/>
    </xf>
    <xf numFmtId="0" fontId="0" fillId="26" borderId="55" xfId="0" applyFill="1" applyBorder="1" applyAlignment="1">
      <alignment horizontal="center"/>
    </xf>
    <xf numFmtId="0" fontId="0" fillId="26" borderId="56" xfId="0" applyFill="1" applyBorder="1" applyAlignment="1">
      <alignment horizontal="center"/>
    </xf>
    <xf numFmtId="0" fontId="0" fillId="26" borderId="57" xfId="0" applyFill="1" applyBorder="1" applyAlignment="1">
      <alignment horizontal="center"/>
    </xf>
    <xf numFmtId="9" fontId="26" fillId="33" borderId="10" xfId="0" applyNumberFormat="1" applyFont="1" applyFill="1" applyBorder="1" applyAlignment="1">
      <alignment horizontal="left" vertical="center" wrapText="1"/>
    </xf>
    <xf numFmtId="167" fontId="26" fillId="33" borderId="10" xfId="0" applyNumberFormat="1" applyFont="1" applyFill="1" applyBorder="1" applyAlignment="1">
      <alignment horizontal="left" vertical="center" wrapText="1"/>
    </xf>
    <xf numFmtId="166" fontId="27" fillId="33" borderId="10" xfId="0" applyNumberFormat="1" applyFont="1" applyFill="1" applyBorder="1" applyAlignment="1">
      <alignment vertical="center"/>
    </xf>
    <xf numFmtId="4" fontId="26" fillId="33" borderId="10" xfId="0" applyNumberFormat="1" applyFont="1" applyFill="1" applyBorder="1" applyAlignment="1">
      <alignment horizontal="right" vertical="center"/>
    </xf>
    <xf numFmtId="10" fontId="26" fillId="33" borderId="10" xfId="0" applyNumberFormat="1" applyFont="1" applyFill="1" applyBorder="1" applyAlignment="1">
      <alignment horizontal="right" vertical="center"/>
    </xf>
    <xf numFmtId="10" fontId="26" fillId="33" borderId="10" xfId="0" applyNumberFormat="1" applyFont="1" applyFill="1" applyBorder="1" applyAlignment="1">
      <alignment horizontal="right" vertical="center" wrapText="1"/>
    </xf>
    <xf numFmtId="4" fontId="26" fillId="33" borderId="10" xfId="0" applyNumberFormat="1" applyFont="1" applyFill="1" applyBorder="1" applyAlignment="1">
      <alignment horizontal="right" vertical="center" wrapText="1"/>
    </xf>
    <xf numFmtId="164" fontId="63" fillId="33" borderId="16" xfId="45" applyFill="1" applyBorder="1" applyAlignment="1" applyProtection="1">
      <alignment horizontal="center" vertical="center"/>
    </xf>
    <xf numFmtId="164" fontId="63" fillId="33" borderId="16" xfId="45" applyFill="1" applyBorder="1" applyAlignment="1" applyProtection="1">
      <alignment horizontal="right" vertical="center"/>
    </xf>
    <xf numFmtId="164" fontId="63" fillId="33" borderId="18" xfId="45" applyFill="1" applyBorder="1" applyAlignment="1" applyProtection="1">
      <alignment horizontal="center" vertical="center"/>
    </xf>
    <xf numFmtId="164" fontId="63" fillId="33" borderId="20" xfId="45" applyFill="1" applyBorder="1" applyAlignment="1" applyProtection="1">
      <alignment horizontal="center" vertical="center"/>
    </xf>
    <xf numFmtId="0" fontId="0" fillId="33" borderId="16" xfId="0" applyFont="1" applyFill="1" applyBorder="1" applyAlignment="1">
      <alignment horizontal="center" vertical="center"/>
    </xf>
    <xf numFmtId="0" fontId="84" fillId="33" borderId="16" xfId="0" applyFont="1" applyFill="1" applyBorder="1" applyAlignment="1">
      <alignment horizontal="center" vertical="center"/>
    </xf>
    <xf numFmtId="0" fontId="0" fillId="33" borderId="18" xfId="0" applyFont="1" applyFill="1" applyBorder="1" applyAlignment="1">
      <alignment horizontal="center" vertical="center"/>
    </xf>
    <xf numFmtId="0" fontId="0" fillId="33" borderId="27" xfId="0" applyFont="1" applyFill="1" applyBorder="1" applyAlignment="1">
      <alignment horizontal="center" vertical="center"/>
    </xf>
    <xf numFmtId="0" fontId="84" fillId="33" borderId="18" xfId="0" applyFont="1" applyFill="1" applyBorder="1" applyAlignment="1">
      <alignment horizontal="center" vertical="center"/>
    </xf>
    <xf numFmtId="0" fontId="0" fillId="33" borderId="20" xfId="0" applyFont="1" applyFill="1" applyBorder="1" applyAlignment="1">
      <alignment horizontal="center" vertical="center"/>
    </xf>
    <xf numFmtId="0" fontId="79" fillId="26" borderId="0" xfId="0" applyFont="1" applyFill="1" applyAlignment="1">
      <alignment vertical="top" wrapText="1"/>
    </xf>
    <xf numFmtId="0" fontId="0" fillId="26" borderId="0" xfId="0" applyFill="1" applyAlignment="1">
      <alignment horizontal="left" vertical="top" wrapText="1"/>
    </xf>
    <xf numFmtId="0" fontId="0" fillId="26" borderId="0" xfId="0" applyFont="1" applyFill="1"/>
    <xf numFmtId="0" fontId="0" fillId="27" borderId="0" xfId="0" applyFont="1" applyFill="1"/>
    <xf numFmtId="0" fontId="0" fillId="33" borderId="0" xfId="0" applyFont="1" applyFill="1"/>
    <xf numFmtId="0" fontId="0" fillId="34" borderId="0" xfId="0" applyFont="1" applyFill="1"/>
    <xf numFmtId="0" fontId="79" fillId="33" borderId="0" xfId="0" applyFont="1" applyFill="1" applyAlignment="1">
      <alignment vertical="top" wrapText="1"/>
    </xf>
    <xf numFmtId="0" fontId="19" fillId="33" borderId="0" xfId="0" applyFont="1" applyFill="1"/>
    <xf numFmtId="4" fontId="0" fillId="0" borderId="0" xfId="0" applyNumberFormat="1"/>
    <xf numFmtId="171" fontId="1" fillId="0" borderId="0" xfId="35" applyNumberFormat="1"/>
    <xf numFmtId="0" fontId="38" fillId="31" borderId="16" xfId="0" applyFont="1" applyFill="1" applyBorder="1" applyAlignment="1">
      <alignment horizontal="center" vertical="center"/>
    </xf>
    <xf numFmtId="0" fontId="26" fillId="35" borderId="16" xfId="45" applyNumberFormat="1" applyFont="1" applyFill="1" applyBorder="1" applyAlignment="1" applyProtection="1">
      <alignment horizontal="center" vertical="center"/>
    </xf>
    <xf numFmtId="0" fontId="26" fillId="36" borderId="16" xfId="45" applyNumberFormat="1" applyFont="1" applyFill="1" applyBorder="1" applyAlignment="1" applyProtection="1">
      <alignment horizontal="center" vertical="center"/>
    </xf>
    <xf numFmtId="170" fontId="0" fillId="0" borderId="20" xfId="0" applyNumberFormat="1" applyFont="1" applyFill="1" applyBorder="1" applyAlignment="1">
      <alignment horizontal="center" vertical="center"/>
    </xf>
    <xf numFmtId="170" fontId="0" fillId="0" borderId="16" xfId="0" applyNumberFormat="1" applyFont="1" applyFill="1" applyBorder="1" applyAlignment="1">
      <alignment horizontal="center" vertical="center"/>
    </xf>
    <xf numFmtId="0" fontId="86" fillId="30" borderId="32" xfId="0" applyFont="1" applyFill="1" applyBorder="1" applyAlignment="1">
      <alignment horizontal="center" vertical="center" wrapText="1"/>
    </xf>
    <xf numFmtId="0" fontId="86" fillId="0" borderId="10" xfId="0" applyFont="1" applyFill="1" applyBorder="1" applyAlignment="1">
      <alignment horizontal="center" vertical="center"/>
    </xf>
    <xf numFmtId="43" fontId="19" fillId="0" borderId="0" xfId="0" applyNumberFormat="1" applyFont="1"/>
    <xf numFmtId="164" fontId="63" fillId="0" borderId="0" xfId="45"/>
    <xf numFmtId="0" fontId="26" fillId="22" borderId="15" xfId="0" applyFont="1" applyFill="1" applyBorder="1" applyAlignment="1">
      <alignment horizontal="center" vertical="center" wrapText="1"/>
    </xf>
    <xf numFmtId="3" fontId="26" fillId="0" borderId="58" xfId="0" applyNumberFormat="1" applyFont="1" applyBorder="1" applyAlignment="1">
      <alignment horizontal="center" vertical="center" wrapText="1"/>
    </xf>
    <xf numFmtId="0" fontId="26" fillId="0" borderId="59" xfId="0" applyFont="1" applyBorder="1" applyAlignment="1">
      <alignment horizontal="center" vertical="center" wrapText="1"/>
    </xf>
    <xf numFmtId="0" fontId="26" fillId="26" borderId="60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33" borderId="10" xfId="0" applyFont="1" applyFill="1" applyBorder="1" applyAlignment="1">
      <alignment horizontal="justify" wrapText="1"/>
    </xf>
    <xf numFmtId="0" fontId="26" fillId="33" borderId="10" xfId="0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26" fillId="0" borderId="10" xfId="0" applyFont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/>
    </xf>
    <xf numFmtId="0" fontId="26" fillId="33" borderId="10" xfId="0" applyFont="1" applyFill="1" applyBorder="1" applyAlignment="1">
      <alignment horizontal="left"/>
    </xf>
    <xf numFmtId="0" fontId="26" fillId="33" borderId="10" xfId="0" applyFont="1" applyFill="1" applyBorder="1" applyAlignment="1">
      <alignment horizontal="center"/>
    </xf>
    <xf numFmtId="0" fontId="26" fillId="25" borderId="10" xfId="0" applyFont="1" applyFill="1" applyBorder="1" applyAlignment="1">
      <alignment horizontal="center"/>
    </xf>
    <xf numFmtId="0" fontId="26" fillId="0" borderId="12" xfId="0" applyFont="1" applyBorder="1" applyAlignment="1">
      <alignment horizontal="justify" vertical="top"/>
    </xf>
    <xf numFmtId="0" fontId="26" fillId="25" borderId="10" xfId="0" applyFont="1" applyFill="1" applyBorder="1" applyAlignment="1">
      <alignment horizontal="justify" vertical="center" wrapText="1"/>
    </xf>
    <xf numFmtId="0" fontId="26" fillId="0" borderId="10" xfId="0" applyFont="1" applyBorder="1" applyAlignment="1">
      <alignment horizontal="justify" vertical="top"/>
    </xf>
    <xf numFmtId="0" fontId="26" fillId="0" borderId="11" xfId="0" applyFont="1" applyBorder="1" applyAlignment="1">
      <alignment horizontal="center" vertical="center"/>
    </xf>
    <xf numFmtId="0" fontId="40" fillId="25" borderId="29" xfId="0" applyFont="1" applyFill="1" applyBorder="1" applyAlignment="1">
      <alignment horizontal="center"/>
    </xf>
    <xf numFmtId="0" fontId="40" fillId="0" borderId="10" xfId="0" applyFont="1" applyBorder="1" applyAlignment="1">
      <alignment horizontal="left" vertical="center" wrapText="1"/>
    </xf>
    <xf numFmtId="0" fontId="56" fillId="0" borderId="10" xfId="0" applyFont="1" applyBorder="1" applyAlignment="1">
      <alignment horizontal="center" vertical="center" wrapText="1"/>
    </xf>
    <xf numFmtId="0" fontId="40" fillId="25" borderId="13" xfId="0" applyFont="1" applyFill="1" applyBorder="1" applyAlignment="1">
      <alignment horizontal="left" vertical="center" wrapText="1"/>
    </xf>
    <xf numFmtId="0" fontId="40" fillId="0" borderId="10" xfId="0" applyFont="1" applyBorder="1" applyAlignment="1">
      <alignment horizontal="justify" vertical="center" wrapText="1"/>
    </xf>
    <xf numFmtId="166" fontId="56" fillId="0" borderId="10" xfId="0" applyNumberFormat="1" applyFont="1" applyFill="1" applyBorder="1" applyAlignment="1">
      <alignment horizontal="center" vertical="center"/>
    </xf>
    <xf numFmtId="0" fontId="19" fillId="0" borderId="61" xfId="0" applyFont="1" applyFill="1" applyBorder="1" applyAlignment="1">
      <alignment horizontal="justify" vertical="center" wrapText="1"/>
    </xf>
    <xf numFmtId="0" fontId="19" fillId="0" borderId="62" xfId="0" applyFont="1" applyFill="1" applyBorder="1" applyAlignment="1">
      <alignment horizontal="justify" vertical="center" wrapText="1"/>
    </xf>
    <xf numFmtId="0" fontId="26" fillId="25" borderId="10" xfId="0" applyFont="1" applyFill="1" applyBorder="1" applyAlignment="1">
      <alignment horizontal="left"/>
    </xf>
    <xf numFmtId="0" fontId="40" fillId="0" borderId="10" xfId="0" applyFont="1" applyFill="1" applyBorder="1" applyAlignment="1">
      <alignment horizontal="left" vertical="center" wrapText="1"/>
    </xf>
    <xf numFmtId="166" fontId="56" fillId="0" borderId="10" xfId="0" applyNumberFormat="1" applyFont="1" applyFill="1" applyBorder="1" applyAlignment="1">
      <alignment horizontal="center" vertical="center" wrapText="1"/>
    </xf>
    <xf numFmtId="49" fontId="26" fillId="22" borderId="12" xfId="0" applyNumberFormat="1" applyFont="1" applyFill="1" applyBorder="1" applyAlignment="1">
      <alignment horizontal="right" vertical="center" wrapText="1"/>
    </xf>
    <xf numFmtId="0" fontId="26" fillId="0" borderId="101" xfId="0" applyFont="1" applyBorder="1" applyAlignment="1">
      <alignment horizontal="left" vertical="center" wrapText="1"/>
    </xf>
    <xf numFmtId="0" fontId="55" fillId="25" borderId="12" xfId="0" applyFont="1" applyFill="1" applyBorder="1" applyAlignment="1">
      <alignment vertical="center"/>
    </xf>
    <xf numFmtId="0" fontId="19" fillId="0" borderId="10" xfId="0" applyFont="1" applyFill="1" applyBorder="1" applyAlignment="1">
      <alignment horizontal="left" vertical="center" wrapText="1"/>
    </xf>
    <xf numFmtId="0" fontId="26" fillId="25" borderId="10" xfId="0" applyFont="1" applyFill="1" applyBorder="1" applyAlignment="1">
      <alignment horizontal="right" vertical="center"/>
    </xf>
    <xf numFmtId="0" fontId="38" fillId="0" borderId="10" xfId="0" applyFont="1" applyBorder="1" applyAlignment="1">
      <alignment horizontal="left" vertical="center" wrapText="1"/>
    </xf>
    <xf numFmtId="0" fontId="28" fillId="22" borderId="10" xfId="0" applyFont="1" applyFill="1" applyBorder="1" applyAlignment="1">
      <alignment horizontal="left" vertical="center" wrapText="1"/>
    </xf>
    <xf numFmtId="0" fontId="26" fillId="22" borderId="10" xfId="0" applyFont="1" applyFill="1" applyBorder="1" applyAlignment="1">
      <alignment horizontal="right" vertical="center"/>
    </xf>
    <xf numFmtId="0" fontId="27" fillId="0" borderId="10" xfId="0" applyFont="1" applyFill="1" applyBorder="1" applyAlignment="1">
      <alignment horizontal="right" vertical="center" wrapText="1"/>
    </xf>
    <xf numFmtId="0" fontId="27" fillId="0" borderId="63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left"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64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justify" vertical="center" wrapText="1"/>
    </xf>
    <xf numFmtId="0" fontId="26" fillId="0" borderId="12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justify" vertical="center" wrapText="1"/>
    </xf>
    <xf numFmtId="0" fontId="28" fillId="0" borderId="10" xfId="0" applyFont="1" applyBorder="1" applyAlignment="1">
      <alignment horizontal="left" vertical="center"/>
    </xf>
    <xf numFmtId="0" fontId="38" fillId="0" borderId="10" xfId="0" applyFont="1" applyBorder="1" applyAlignment="1">
      <alignment horizontal="left" vertical="center"/>
    </xf>
    <xf numFmtId="0" fontId="26" fillId="0" borderId="10" xfId="0" applyFont="1" applyBorder="1" applyAlignment="1">
      <alignment horizontal="left" vertical="center"/>
    </xf>
    <xf numFmtId="0" fontId="40" fillId="25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left" vertical="center"/>
    </xf>
    <xf numFmtId="0" fontId="38" fillId="0" borderId="10" xfId="0" applyFont="1" applyFill="1" applyBorder="1" applyAlignment="1">
      <alignment horizontal="left" vertical="center"/>
    </xf>
    <xf numFmtId="0" fontId="28" fillId="22" borderId="10" xfId="0" applyFont="1" applyFill="1" applyBorder="1" applyAlignment="1">
      <alignment horizontal="center" vertical="center"/>
    </xf>
    <xf numFmtId="0" fontId="38" fillId="0" borderId="10" xfId="0" applyFont="1" applyFill="1" applyBorder="1" applyAlignment="1">
      <alignment horizontal="left" vertical="center" wrapText="1"/>
    </xf>
    <xf numFmtId="0" fontId="28" fillId="22" borderId="10" xfId="0" applyFont="1" applyFill="1" applyBorder="1" applyAlignment="1">
      <alignment horizontal="center" vertical="center" wrapText="1"/>
    </xf>
    <xf numFmtId="0" fontId="26" fillId="26" borderId="10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0" fontId="31" fillId="0" borderId="10" xfId="0" applyFont="1" applyFill="1" applyBorder="1" applyAlignment="1">
      <alignment horizontal="left" vertical="center"/>
    </xf>
    <xf numFmtId="0" fontId="32" fillId="22" borderId="10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left" vertical="center"/>
    </xf>
    <xf numFmtId="0" fontId="33" fillId="22" borderId="10" xfId="0" applyFont="1" applyFill="1" applyBorder="1" applyAlignment="1">
      <alignment horizontal="right" vertical="center" wrapText="1"/>
    </xf>
    <xf numFmtId="0" fontId="33" fillId="25" borderId="10" xfId="0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left" vertical="center"/>
    </xf>
    <xf numFmtId="0" fontId="33" fillId="0" borderId="10" xfId="0" applyFont="1" applyFill="1" applyBorder="1" applyAlignment="1">
      <alignment horizontal="right" vertical="center"/>
    </xf>
    <xf numFmtId="0" fontId="49" fillId="25" borderId="10" xfId="0" applyFont="1" applyFill="1" applyBorder="1" applyAlignment="1">
      <alignment horizontal="right" vertical="center"/>
    </xf>
    <xf numFmtId="0" fontId="87" fillId="0" borderId="102" xfId="0" applyFont="1" applyBorder="1" applyAlignment="1">
      <alignment horizontal="left" vertical="center" wrapText="1"/>
    </xf>
    <xf numFmtId="49" fontId="88" fillId="0" borderId="103" xfId="0" applyNumberFormat="1" applyFont="1" applyBorder="1" applyAlignment="1">
      <alignment horizontal="left" vertical="top" wrapText="1"/>
    </xf>
    <xf numFmtId="49" fontId="88" fillId="0" borderId="104" xfId="0" applyNumberFormat="1" applyFont="1" applyBorder="1" applyAlignment="1">
      <alignment horizontal="left" vertical="top" wrapText="1"/>
    </xf>
    <xf numFmtId="49" fontId="88" fillId="0" borderId="105" xfId="0" applyNumberFormat="1" applyFont="1" applyBorder="1" applyAlignment="1">
      <alignment horizontal="left" vertical="top" wrapText="1"/>
    </xf>
    <xf numFmtId="0" fontId="87" fillId="0" borderId="103" xfId="0" applyFont="1" applyBorder="1" applyAlignment="1">
      <alignment horizontal="left" vertical="center" wrapText="1"/>
    </xf>
    <xf numFmtId="0" fontId="87" fillId="0" borderId="104" xfId="0" applyFont="1" applyBorder="1" applyAlignment="1">
      <alignment horizontal="left" vertical="center" wrapText="1"/>
    </xf>
    <xf numFmtId="0" fontId="87" fillId="0" borderId="105" xfId="0" applyFont="1" applyBorder="1" applyAlignment="1">
      <alignment horizontal="left" vertical="center" wrapText="1"/>
    </xf>
    <xf numFmtId="0" fontId="26" fillId="0" borderId="106" xfId="0" applyFont="1" applyBorder="1" applyAlignment="1">
      <alignment horizontal="left" vertical="center" wrapText="1"/>
    </xf>
    <xf numFmtId="0" fontId="26" fillId="0" borderId="107" xfId="0" applyFont="1" applyBorder="1" applyAlignment="1">
      <alignment horizontal="left" vertical="center" wrapText="1"/>
    </xf>
    <xf numFmtId="0" fontId="28" fillId="0" borderId="10" xfId="0" applyFont="1" applyFill="1" applyBorder="1" applyAlignment="1">
      <alignment horizontal="justify" vertical="center" wrapText="1"/>
    </xf>
    <xf numFmtId="0" fontId="28" fillId="25" borderId="10" xfId="0" applyFont="1" applyFill="1" applyBorder="1" applyAlignment="1">
      <alignment horizontal="justify" vertical="center" wrapText="1"/>
    </xf>
    <xf numFmtId="0" fontId="45" fillId="25" borderId="10" xfId="0" applyFont="1" applyFill="1" applyBorder="1" applyAlignment="1">
      <alignment horizontal="justify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/>
    </xf>
    <xf numFmtId="0" fontId="37" fillId="0" borderId="10" xfId="0" applyFont="1" applyFill="1" applyBorder="1" applyAlignment="1">
      <alignment horizontal="justify" vertical="center" wrapText="1"/>
    </xf>
    <xf numFmtId="0" fontId="49" fillId="25" borderId="10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left" vertical="center" wrapText="1"/>
    </xf>
    <xf numFmtId="0" fontId="32" fillId="22" borderId="10" xfId="0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22" borderId="10" xfId="0" applyFont="1" applyFill="1" applyBorder="1" applyAlignment="1">
      <alignment horizontal="right" vertical="center" wrapText="1"/>
    </xf>
    <xf numFmtId="0" fontId="26" fillId="0" borderId="12" xfId="0" applyFont="1" applyBorder="1" applyAlignment="1">
      <alignment horizontal="left" vertical="center"/>
    </xf>
    <xf numFmtId="0" fontId="26" fillId="22" borderId="12" xfId="0" applyFont="1" applyFill="1" applyBorder="1" applyAlignment="1">
      <alignment horizontal="right" vertical="center"/>
    </xf>
    <xf numFmtId="0" fontId="26" fillId="25" borderId="10" xfId="0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left" vertical="center" wrapText="1"/>
    </xf>
    <xf numFmtId="0" fontId="26" fillId="25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center" wrapText="1"/>
    </xf>
    <xf numFmtId="0" fontId="33" fillId="22" borderId="10" xfId="0" applyFont="1" applyFill="1" applyBorder="1" applyAlignment="1">
      <alignment horizontal="right" vertical="center"/>
    </xf>
    <xf numFmtId="0" fontId="37" fillId="25" borderId="10" xfId="0" applyFont="1" applyFill="1" applyBorder="1" applyAlignment="1">
      <alignment horizontal="left" vertical="center" wrapText="1"/>
    </xf>
    <xf numFmtId="0" fontId="32" fillId="0" borderId="10" xfId="0" applyFont="1" applyFill="1" applyBorder="1" applyAlignment="1">
      <alignment horizontal="justify" vertical="center" wrapText="1"/>
    </xf>
    <xf numFmtId="0" fontId="33" fillId="25" borderId="10" xfId="0" applyFont="1" applyFill="1" applyBorder="1" applyAlignment="1">
      <alignment horizontal="right" vertical="center" wrapText="1"/>
    </xf>
    <xf numFmtId="0" fontId="32" fillId="22" borderId="10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justify" vertical="center" wrapText="1"/>
    </xf>
    <xf numFmtId="10" fontId="27" fillId="0" borderId="10" xfId="0" applyNumberFormat="1" applyFont="1" applyFill="1" applyBorder="1" applyAlignment="1">
      <alignment horizontal="left" vertical="center" wrapText="1"/>
    </xf>
    <xf numFmtId="10" fontId="61" fillId="0" borderId="10" xfId="0" applyNumberFormat="1" applyFont="1" applyFill="1" applyBorder="1" applyAlignment="1">
      <alignment horizontal="left" vertical="center" wrapText="1"/>
    </xf>
    <xf numFmtId="0" fontId="28" fillId="22" borderId="10" xfId="0" applyFont="1" applyFill="1" applyBorder="1" applyAlignment="1">
      <alignment horizontal="justify" vertical="center" wrapText="1"/>
    </xf>
    <xf numFmtId="0" fontId="40" fillId="22" borderId="10" xfId="0" applyFont="1" applyFill="1" applyBorder="1" applyAlignment="1">
      <alignment horizontal="justify" vertical="center" wrapText="1"/>
    </xf>
    <xf numFmtId="0" fontId="26" fillId="25" borderId="10" xfId="0" applyFont="1" applyFill="1" applyBorder="1" applyAlignment="1">
      <alignment horizontal="right" vertical="center" wrapText="1"/>
    </xf>
    <xf numFmtId="0" fontId="42" fillId="0" borderId="10" xfId="0" applyFont="1" applyFill="1" applyBorder="1" applyAlignment="1">
      <alignment horizontal="justify" vertical="center" wrapText="1"/>
    </xf>
    <xf numFmtId="0" fontId="33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justify" vertical="center" wrapText="1"/>
    </xf>
    <xf numFmtId="0" fontId="26" fillId="25" borderId="10" xfId="0" applyFont="1" applyFill="1" applyBorder="1" applyAlignment="1">
      <alignment horizontal="left" wrapText="1"/>
    </xf>
    <xf numFmtId="0" fontId="38" fillId="0" borderId="10" xfId="0" applyFont="1" applyFill="1" applyBorder="1" applyAlignment="1">
      <alignment vertical="center" wrapText="1"/>
    </xf>
    <xf numFmtId="4" fontId="34" fillId="0" borderId="10" xfId="0" applyNumberFormat="1" applyFont="1" applyFill="1" applyBorder="1" applyAlignment="1">
      <alignment horizontal="right" vertical="center" wrapText="1"/>
    </xf>
    <xf numFmtId="0" fontId="27" fillId="0" borderId="10" xfId="0" applyFont="1" applyBorder="1" applyAlignment="1">
      <alignment horizontal="left" vertical="center"/>
    </xf>
    <xf numFmtId="4" fontId="27" fillId="0" borderId="10" xfId="0" applyNumberFormat="1" applyFont="1" applyFill="1" applyBorder="1" applyAlignment="1">
      <alignment horizontal="right" vertical="center" wrapText="1"/>
    </xf>
    <xf numFmtId="4" fontId="34" fillId="0" borderId="10" xfId="0" applyNumberFormat="1" applyFont="1" applyFill="1" applyBorder="1" applyAlignment="1">
      <alignment horizontal="right" vertical="center"/>
    </xf>
    <xf numFmtId="166" fontId="34" fillId="33" borderId="10" xfId="0" applyNumberFormat="1" applyFont="1" applyFill="1" applyBorder="1" applyAlignment="1" applyProtection="1">
      <alignment horizontal="right" vertical="center"/>
      <protection locked="0"/>
    </xf>
    <xf numFmtId="14" fontId="35" fillId="0" borderId="10" xfId="0" applyNumberFormat="1" applyFont="1" applyFill="1" applyBorder="1" applyAlignment="1">
      <alignment horizontal="right" vertical="center" wrapText="1"/>
    </xf>
    <xf numFmtId="14" fontId="36" fillId="33" borderId="10" xfId="0" applyNumberFormat="1" applyFont="1" applyFill="1" applyBorder="1" applyAlignment="1">
      <alignment horizontal="right" vertical="center" wrapText="1"/>
    </xf>
    <xf numFmtId="0" fontId="26" fillId="0" borderId="0" xfId="0" applyFont="1" applyBorder="1" applyAlignment="1">
      <alignment horizontal="center" vertical="center" wrapText="1"/>
    </xf>
    <xf numFmtId="166" fontId="27" fillId="0" borderId="10" xfId="0" applyNumberFormat="1" applyFont="1" applyFill="1" applyBorder="1" applyAlignment="1">
      <alignment horizontal="center" vertical="center" wrapText="1"/>
    </xf>
    <xf numFmtId="166" fontId="33" fillId="0" borderId="10" xfId="0" applyNumberFormat="1" applyFont="1" applyFill="1" applyBorder="1" applyAlignment="1">
      <alignment horizontal="right" vertical="center" wrapText="1"/>
    </xf>
    <xf numFmtId="0" fontId="28" fillId="25" borderId="10" xfId="0" applyFont="1" applyFill="1" applyBorder="1" applyAlignment="1">
      <alignment horizontal="left" wrapText="1"/>
    </xf>
    <xf numFmtId="0" fontId="27" fillId="22" borderId="10" xfId="0" applyFont="1" applyFill="1" applyBorder="1" applyAlignment="1">
      <alignment horizontal="right" vertical="center" wrapText="1"/>
    </xf>
    <xf numFmtId="1" fontId="27" fillId="22" borderId="10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justify" vertical="center" wrapText="1"/>
    </xf>
    <xf numFmtId="0" fontId="30" fillId="0" borderId="10" xfId="0" applyFont="1" applyFill="1" applyBorder="1" applyAlignment="1">
      <alignment horizontal="left" wrapText="1"/>
    </xf>
    <xf numFmtId="1" fontId="26" fillId="0" borderId="10" xfId="0" applyNumberFormat="1" applyFont="1" applyBorder="1" applyAlignment="1">
      <alignment horizontal="center" vertical="center" wrapText="1"/>
    </xf>
    <xf numFmtId="0" fontId="26" fillId="22" borderId="10" xfId="0" applyFont="1" applyFill="1" applyBorder="1" applyAlignment="1">
      <alignment horizontal="left" vertical="center" wrapText="1"/>
    </xf>
    <xf numFmtId="0" fontId="26" fillId="22" borderId="10" xfId="0" applyFont="1" applyFill="1" applyBorder="1" applyAlignment="1">
      <alignment horizontal="center" vertical="center" wrapText="1"/>
    </xf>
    <xf numFmtId="1" fontId="26" fillId="22" borderId="10" xfId="0" applyNumberFormat="1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85" fillId="26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6" fillId="22" borderId="12" xfId="0" applyFont="1" applyFill="1" applyBorder="1" applyAlignment="1">
      <alignment horizontal="center" vertical="center" wrapText="1"/>
    </xf>
    <xf numFmtId="0" fontId="26" fillId="22" borderId="10" xfId="0" applyNumberFormat="1" applyFont="1" applyFill="1" applyBorder="1" applyAlignment="1">
      <alignment horizontal="center" vertical="center" wrapText="1"/>
    </xf>
    <xf numFmtId="14" fontId="27" fillId="33" borderId="10" xfId="0" applyNumberFormat="1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horizontal="left" vertical="center"/>
    </xf>
    <xf numFmtId="0" fontId="20" fillId="26" borderId="0" xfId="0" applyFont="1" applyFill="1" applyBorder="1" applyAlignment="1">
      <alignment horizontal="center" vertical="center" wrapText="1"/>
    </xf>
    <xf numFmtId="0" fontId="21" fillId="26" borderId="0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40" fillId="22" borderId="10" xfId="0" applyFont="1" applyFill="1" applyBorder="1" applyAlignment="1">
      <alignment horizontal="left" vertical="center" wrapText="1"/>
    </xf>
    <xf numFmtId="0" fontId="45" fillId="25" borderId="10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28" fillId="22" borderId="15" xfId="0" applyFont="1" applyFill="1" applyBorder="1" applyAlignment="1">
      <alignment horizontal="left" vertical="center" wrapText="1"/>
    </xf>
    <xf numFmtId="0" fontId="26" fillId="0" borderId="11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0" fontId="19" fillId="0" borderId="63" xfId="0" applyFont="1" applyFill="1" applyBorder="1" applyAlignment="1">
      <alignment horizontal="justify" vertical="center" wrapText="1"/>
    </xf>
    <xf numFmtId="0" fontId="26" fillId="0" borderId="10" xfId="0" applyFont="1" applyBorder="1" applyAlignment="1">
      <alignment horizontal="justify" wrapText="1"/>
    </xf>
    <xf numFmtId="0" fontId="26" fillId="0" borderId="10" xfId="0" applyFont="1" applyBorder="1" applyAlignment="1">
      <alignment horizontal="center"/>
    </xf>
    <xf numFmtId="0" fontId="40" fillId="25" borderId="28" xfId="0" applyFont="1" applyFill="1" applyBorder="1" applyAlignment="1">
      <alignment horizontal="center"/>
    </xf>
    <xf numFmtId="0" fontId="40" fillId="25" borderId="30" xfId="0" applyFont="1" applyFill="1" applyBorder="1" applyAlignment="1">
      <alignment horizontal="center"/>
    </xf>
    <xf numFmtId="0" fontId="44" fillId="0" borderId="65" xfId="0" applyFont="1" applyFill="1" applyBorder="1" applyAlignment="1">
      <alignment horizontal="left" vertical="center"/>
    </xf>
    <xf numFmtId="0" fontId="44" fillId="0" borderId="65" xfId="0" applyFont="1" applyFill="1" applyBorder="1" applyAlignment="1">
      <alignment horizontal="center" vertical="center"/>
    </xf>
    <xf numFmtId="49" fontId="26" fillId="32" borderId="12" xfId="0" applyNumberFormat="1" applyFont="1" applyFill="1" applyBorder="1" applyAlignment="1">
      <alignment horizontal="right" vertical="center" wrapText="1"/>
    </xf>
    <xf numFmtId="49" fontId="26" fillId="32" borderId="13" xfId="0" applyNumberFormat="1" applyFont="1" applyFill="1" applyBorder="1" applyAlignment="1">
      <alignment horizontal="right" vertical="center" wrapText="1"/>
    </xf>
    <xf numFmtId="49" fontId="26" fillId="32" borderId="14" xfId="0" applyNumberFormat="1" applyFont="1" applyFill="1" applyBorder="1" applyAlignment="1">
      <alignment horizontal="right" vertical="center" wrapText="1"/>
    </xf>
    <xf numFmtId="0" fontId="28" fillId="0" borderId="12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left" vertical="center" wrapText="1"/>
    </xf>
    <xf numFmtId="0" fontId="44" fillId="0" borderId="66" xfId="0" applyFont="1" applyFill="1" applyBorder="1" applyAlignment="1">
      <alignment horizontal="left" vertical="center"/>
    </xf>
    <xf numFmtId="0" fontId="35" fillId="0" borderId="10" xfId="0" applyFont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0" fontId="26" fillId="31" borderId="32" xfId="0" applyFont="1" applyFill="1" applyBorder="1" applyAlignment="1">
      <alignment horizontal="right" vertical="center"/>
    </xf>
    <xf numFmtId="0" fontId="26" fillId="31" borderId="67" xfId="0" applyFont="1" applyFill="1" applyBorder="1" applyAlignment="1">
      <alignment horizontal="right" vertical="center"/>
    </xf>
    <xf numFmtId="0" fontId="26" fillId="31" borderId="68" xfId="0" applyFont="1" applyFill="1" applyBorder="1" applyAlignment="1">
      <alignment horizontal="right" vertical="center"/>
    </xf>
    <xf numFmtId="0" fontId="83" fillId="33" borderId="17" xfId="0" applyFont="1" applyFill="1" applyBorder="1" applyAlignment="1">
      <alignment horizontal="center" vertical="center" wrapText="1"/>
    </xf>
    <xf numFmtId="0" fontId="83" fillId="33" borderId="68" xfId="0" applyFont="1" applyFill="1" applyBorder="1" applyAlignment="1">
      <alignment horizontal="center" vertical="center" wrapText="1"/>
    </xf>
    <xf numFmtId="0" fontId="20" fillId="26" borderId="69" xfId="0" applyFont="1" applyFill="1" applyBorder="1" applyAlignment="1">
      <alignment horizontal="center" vertical="center" wrapText="1"/>
    </xf>
    <xf numFmtId="0" fontId="20" fillId="26" borderId="65" xfId="0" applyFont="1" applyFill="1" applyBorder="1" applyAlignment="1">
      <alignment horizontal="center" vertical="center" wrapText="1"/>
    </xf>
    <xf numFmtId="0" fontId="21" fillId="26" borderId="69" xfId="0" applyFont="1" applyFill="1" applyBorder="1" applyAlignment="1">
      <alignment horizontal="center" vertical="center" wrapText="1"/>
    </xf>
    <xf numFmtId="0" fontId="21" fillId="26" borderId="65" xfId="0" applyFont="1" applyFill="1" applyBorder="1" applyAlignment="1">
      <alignment horizontal="center" vertical="center" wrapText="1"/>
    </xf>
    <xf numFmtId="0" fontId="0" fillId="33" borderId="70" xfId="0" applyFont="1" applyFill="1" applyBorder="1" applyAlignment="1">
      <alignment vertical="center" wrapText="1"/>
    </xf>
    <xf numFmtId="0" fontId="0" fillId="33" borderId="71" xfId="0" applyFont="1" applyFill="1" applyBorder="1" applyAlignment="1">
      <alignment vertical="center" wrapText="1"/>
    </xf>
    <xf numFmtId="0" fontId="26" fillId="30" borderId="72" xfId="0" applyFont="1" applyFill="1" applyBorder="1" applyAlignment="1">
      <alignment horizontal="left" vertical="center" wrapText="1"/>
    </xf>
    <xf numFmtId="0" fontId="26" fillId="30" borderId="73" xfId="0" applyFont="1" applyFill="1" applyBorder="1" applyAlignment="1">
      <alignment horizontal="left" vertical="center" wrapText="1"/>
    </xf>
    <xf numFmtId="0" fontId="26" fillId="30" borderId="74" xfId="0" applyFont="1" applyFill="1" applyBorder="1" applyAlignment="1">
      <alignment horizontal="left" vertical="center" wrapText="1"/>
    </xf>
    <xf numFmtId="0" fontId="83" fillId="33" borderId="75" xfId="0" applyFont="1" applyFill="1" applyBorder="1" applyAlignment="1">
      <alignment horizontal="left" vertical="center" wrapText="1"/>
    </xf>
    <xf numFmtId="0" fontId="83" fillId="33" borderId="76" xfId="0" applyFont="1" applyFill="1" applyBorder="1" applyAlignment="1">
      <alignment horizontal="left" vertical="center" wrapText="1"/>
    </xf>
    <xf numFmtId="0" fontId="83" fillId="33" borderId="77" xfId="0" applyFont="1" applyFill="1" applyBorder="1" applyAlignment="1">
      <alignment horizontal="left" vertical="center" wrapText="1"/>
    </xf>
    <xf numFmtId="0" fontId="26" fillId="22" borderId="12" xfId="0" applyFont="1" applyFill="1" applyBorder="1" applyAlignment="1">
      <alignment horizontal="center" vertical="center"/>
    </xf>
    <xf numFmtId="0" fontId="26" fillId="22" borderId="14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left" vertical="center" wrapText="1"/>
    </xf>
    <xf numFmtId="0" fontId="26" fillId="27" borderId="10" xfId="0" applyFont="1" applyFill="1" applyBorder="1" applyAlignment="1">
      <alignment horizontal="center" vertical="center" wrapText="1"/>
    </xf>
    <xf numFmtId="1" fontId="26" fillId="27" borderId="10" xfId="0" applyNumberFormat="1" applyFont="1" applyFill="1" applyBorder="1" applyAlignment="1">
      <alignment horizontal="center" vertical="center" wrapText="1"/>
    </xf>
    <xf numFmtId="0" fontId="83" fillId="33" borderId="17" xfId="0" applyFont="1" applyFill="1" applyBorder="1" applyAlignment="1">
      <alignment horizontal="left" vertical="center" wrapText="1"/>
    </xf>
    <xf numFmtId="0" fontId="83" fillId="33" borderId="68" xfId="0" applyFont="1" applyFill="1" applyBorder="1" applyAlignment="1">
      <alignment horizontal="left" vertical="center" wrapText="1"/>
    </xf>
    <xf numFmtId="0" fontId="83" fillId="33" borderId="75" xfId="0" applyFont="1" applyFill="1" applyBorder="1" applyAlignment="1">
      <alignment horizontal="center" vertical="center" wrapText="1"/>
    </xf>
    <xf numFmtId="0" fontId="83" fillId="33" borderId="76" xfId="0" applyFont="1" applyFill="1" applyBorder="1" applyAlignment="1">
      <alignment horizontal="center" vertical="center" wrapText="1"/>
    </xf>
    <xf numFmtId="0" fontId="83" fillId="33" borderId="77" xfId="0" applyFont="1" applyFill="1" applyBorder="1" applyAlignment="1">
      <alignment horizontal="center" vertical="center" wrapText="1"/>
    </xf>
    <xf numFmtId="0" fontId="28" fillId="22" borderId="28" xfId="0" applyFont="1" applyFill="1" applyBorder="1" applyAlignment="1">
      <alignment horizontal="left" vertical="center" wrapText="1"/>
    </xf>
    <xf numFmtId="0" fontId="28" fillId="22" borderId="29" xfId="0" applyFont="1" applyFill="1" applyBorder="1" applyAlignment="1">
      <alignment horizontal="left" vertical="center" wrapText="1"/>
    </xf>
    <xf numFmtId="0" fontId="28" fillId="22" borderId="30" xfId="0" applyFont="1" applyFill="1" applyBorder="1" applyAlignment="1">
      <alignment horizontal="left" vertical="center" wrapText="1"/>
    </xf>
    <xf numFmtId="4" fontId="26" fillId="31" borderId="16" xfId="0" applyNumberFormat="1" applyFont="1" applyFill="1" applyBorder="1" applyAlignment="1">
      <alignment horizontal="right" vertical="center"/>
    </xf>
    <xf numFmtId="0" fontId="26" fillId="31" borderId="78" xfId="0" applyFont="1" applyFill="1" applyBorder="1" applyAlignment="1">
      <alignment horizontal="right" vertical="center"/>
    </xf>
    <xf numFmtId="0" fontId="26" fillId="31" borderId="0" xfId="0" applyFont="1" applyFill="1" applyBorder="1" applyAlignment="1">
      <alignment horizontal="right" vertical="center"/>
    </xf>
    <xf numFmtId="0" fontId="26" fillId="31" borderId="79" xfId="0" applyFont="1" applyFill="1" applyBorder="1" applyAlignment="1">
      <alignment horizontal="right" vertical="center"/>
    </xf>
    <xf numFmtId="4" fontId="26" fillId="30" borderId="16" xfId="0" applyNumberFormat="1" applyFont="1" applyFill="1" applyBorder="1" applyAlignment="1">
      <alignment horizontal="right" vertical="center"/>
    </xf>
    <xf numFmtId="0" fontId="38" fillId="31" borderId="16" xfId="0" applyFont="1" applyFill="1" applyBorder="1" applyAlignment="1">
      <alignment horizontal="center" vertical="center"/>
    </xf>
    <xf numFmtId="0" fontId="26" fillId="26" borderId="0" xfId="0" applyFont="1" applyFill="1" applyBorder="1" applyAlignment="1">
      <alignment horizontal="center" vertical="center"/>
    </xf>
    <xf numFmtId="0" fontId="26" fillId="31" borderId="26" xfId="0" applyFont="1" applyFill="1" applyBorder="1" applyAlignment="1">
      <alignment horizontal="right" vertical="center"/>
    </xf>
    <xf numFmtId="0" fontId="80" fillId="31" borderId="80" xfId="0" applyFont="1" applyFill="1" applyBorder="1" applyAlignment="1">
      <alignment horizontal="center" vertical="center" wrapText="1"/>
    </xf>
    <xf numFmtId="0" fontId="80" fillId="31" borderId="81" xfId="0" applyFont="1" applyFill="1" applyBorder="1" applyAlignment="1">
      <alignment horizontal="center" vertical="center" wrapText="1"/>
    </xf>
    <xf numFmtId="0" fontId="80" fillId="31" borderId="82" xfId="0" applyFont="1" applyFill="1" applyBorder="1" applyAlignment="1">
      <alignment horizontal="center" vertical="center" wrapText="1"/>
    </xf>
    <xf numFmtId="0" fontId="80" fillId="31" borderId="21" xfId="0" applyFont="1" applyFill="1" applyBorder="1" applyAlignment="1">
      <alignment horizontal="center" vertical="center" wrapText="1"/>
    </xf>
    <xf numFmtId="0" fontId="80" fillId="31" borderId="0" xfId="0" applyFont="1" applyFill="1" applyBorder="1" applyAlignment="1">
      <alignment horizontal="center" vertical="center" wrapText="1"/>
    </xf>
    <xf numFmtId="0" fontId="80" fillId="31" borderId="22" xfId="0" applyFont="1" applyFill="1" applyBorder="1" applyAlignment="1">
      <alignment horizontal="center" vertical="center" wrapText="1"/>
    </xf>
    <xf numFmtId="0" fontId="26" fillId="31" borderId="16" xfId="0" applyFont="1" applyFill="1" applyBorder="1" applyAlignment="1">
      <alignment horizontal="right" vertical="center"/>
    </xf>
    <xf numFmtId="0" fontId="89" fillId="37" borderId="108" xfId="30" applyFont="1" applyFill="1" applyBorder="1" applyAlignment="1">
      <alignment horizontal="left" vertical="center" wrapText="1"/>
    </xf>
    <xf numFmtId="0" fontId="89" fillId="37" borderId="109" xfId="30" applyFont="1" applyFill="1" applyBorder="1" applyAlignment="1">
      <alignment horizontal="left" vertical="center" wrapText="1"/>
    </xf>
    <xf numFmtId="0" fontId="89" fillId="37" borderId="110" xfId="30" applyFont="1" applyFill="1" applyBorder="1" applyAlignment="1">
      <alignment horizontal="left" vertical="center" wrapText="1"/>
    </xf>
    <xf numFmtId="0" fontId="26" fillId="32" borderId="51" xfId="0" applyFont="1" applyFill="1" applyBorder="1" applyAlignment="1">
      <alignment horizontal="center" vertical="center" wrapText="1"/>
    </xf>
    <xf numFmtId="0" fontId="26" fillId="32" borderId="54" xfId="0" applyFont="1" applyFill="1" applyBorder="1" applyAlignment="1">
      <alignment horizontal="center" vertical="center" wrapText="1"/>
    </xf>
    <xf numFmtId="0" fontId="26" fillId="32" borderId="83" xfId="0" applyFont="1" applyFill="1" applyBorder="1" applyAlignment="1">
      <alignment horizontal="center" vertical="center" wrapText="1"/>
    </xf>
    <xf numFmtId="0" fontId="26" fillId="32" borderId="84" xfId="0" applyFont="1" applyFill="1" applyBorder="1" applyAlignment="1">
      <alignment horizontal="center" vertical="center" wrapText="1"/>
    </xf>
    <xf numFmtId="0" fontId="26" fillId="32" borderId="85" xfId="0" applyFont="1" applyFill="1" applyBorder="1" applyAlignment="1">
      <alignment horizontal="center" vertical="center" wrapText="1"/>
    </xf>
    <xf numFmtId="0" fontId="26" fillId="32" borderId="86" xfId="0" applyFont="1" applyFill="1" applyBorder="1" applyAlignment="1">
      <alignment horizontal="center" vertical="center" wrapText="1"/>
    </xf>
    <xf numFmtId="0" fontId="26" fillId="32" borderId="87" xfId="0" applyFont="1" applyFill="1" applyBorder="1" applyAlignment="1">
      <alignment horizontal="center" vertical="center"/>
    </xf>
    <xf numFmtId="0" fontId="26" fillId="32" borderId="88" xfId="0" applyFont="1" applyFill="1" applyBorder="1" applyAlignment="1">
      <alignment horizontal="center" vertical="center"/>
    </xf>
    <xf numFmtId="0" fontId="89" fillId="37" borderId="111" xfId="30" applyFont="1" applyFill="1" applyBorder="1" applyAlignment="1">
      <alignment horizontal="left" vertical="center" wrapText="1"/>
    </xf>
    <xf numFmtId="0" fontId="89" fillId="37" borderId="112" xfId="30" applyFont="1" applyFill="1" applyBorder="1" applyAlignment="1">
      <alignment horizontal="left" vertical="center" wrapText="1"/>
    </xf>
    <xf numFmtId="0" fontId="89" fillId="37" borderId="113" xfId="30" applyFont="1" applyFill="1" applyBorder="1" applyAlignment="1">
      <alignment horizontal="left" vertical="center" wrapText="1"/>
    </xf>
    <xf numFmtId="0" fontId="89" fillId="37" borderId="114" xfId="30" applyFont="1" applyFill="1" applyBorder="1" applyAlignment="1">
      <alignment horizontal="left" vertical="center" wrapText="1"/>
    </xf>
    <xf numFmtId="0" fontId="89" fillId="37" borderId="0" xfId="30" applyFont="1" applyFill="1" applyBorder="1" applyAlignment="1">
      <alignment horizontal="left" vertical="center" wrapText="1"/>
    </xf>
    <xf numFmtId="0" fontId="89" fillId="37" borderId="115" xfId="30" applyFont="1" applyFill="1" applyBorder="1" applyAlignment="1">
      <alignment horizontal="left" vertical="center" wrapText="1"/>
    </xf>
    <xf numFmtId="0" fontId="26" fillId="32" borderId="87" xfId="0" applyFont="1" applyFill="1" applyBorder="1" applyAlignment="1">
      <alignment horizontal="center" vertical="center" wrapText="1"/>
    </xf>
    <xf numFmtId="0" fontId="26" fillId="32" borderId="88" xfId="0" applyFont="1" applyFill="1" applyBorder="1" applyAlignment="1">
      <alignment horizontal="center" vertical="center" wrapText="1"/>
    </xf>
    <xf numFmtId="0" fontId="26" fillId="32" borderId="51" xfId="0" applyFont="1" applyFill="1" applyBorder="1" applyAlignment="1">
      <alignment horizontal="center" vertical="center"/>
    </xf>
    <xf numFmtId="0" fontId="26" fillId="32" borderId="89" xfId="0" applyFont="1" applyFill="1" applyBorder="1" applyAlignment="1">
      <alignment horizontal="center" vertical="center"/>
    </xf>
    <xf numFmtId="0" fontId="26" fillId="32" borderId="54" xfId="0" applyFont="1" applyFill="1" applyBorder="1" applyAlignment="1">
      <alignment horizontal="center" vertical="center"/>
    </xf>
    <xf numFmtId="0" fontId="0" fillId="26" borderId="0" xfId="0" applyFont="1" applyFill="1" applyAlignment="1">
      <alignment horizontal="left" vertical="top" wrapText="1"/>
    </xf>
    <xf numFmtId="0" fontId="0" fillId="33" borderId="0" xfId="0" applyFont="1" applyFill="1" applyAlignment="1">
      <alignment horizontal="left" vertical="top" wrapText="1"/>
    </xf>
    <xf numFmtId="0" fontId="0" fillId="26" borderId="90" xfId="0" applyFill="1" applyBorder="1" applyAlignment="1">
      <alignment horizontal="center" vertical="top"/>
    </xf>
    <xf numFmtId="3" fontId="29" fillId="22" borderId="12" xfId="0" applyNumberFormat="1" applyFont="1" applyFill="1" applyBorder="1" applyAlignment="1">
      <alignment horizontal="center" vertical="center" wrapText="1"/>
    </xf>
    <xf numFmtId="3" fontId="29" fillId="22" borderId="13" xfId="0" applyNumberFormat="1" applyFont="1" applyFill="1" applyBorder="1" applyAlignment="1">
      <alignment horizontal="center" vertical="center" wrapText="1"/>
    </xf>
    <xf numFmtId="3" fontId="29" fillId="22" borderId="14" xfId="0" applyNumberFormat="1" applyFont="1" applyFill="1" applyBorder="1" applyAlignment="1">
      <alignment horizontal="center" vertical="center" wrapText="1"/>
    </xf>
    <xf numFmtId="0" fontId="26" fillId="38" borderId="10" xfId="0" applyFont="1" applyFill="1" applyBorder="1" applyAlignment="1">
      <alignment horizontal="left" wrapText="1"/>
    </xf>
    <xf numFmtId="0" fontId="26" fillId="0" borderId="10" xfId="0" applyFont="1" applyBorder="1" applyAlignment="1">
      <alignment horizontal="left"/>
    </xf>
    <xf numFmtId="0" fontId="56" fillId="0" borderId="12" xfId="0" applyFont="1" applyBorder="1" applyAlignment="1">
      <alignment horizontal="center" vertical="center" wrapText="1"/>
    </xf>
    <xf numFmtId="0" fontId="56" fillId="0" borderId="14" xfId="0" applyFont="1" applyBorder="1" applyAlignment="1">
      <alignment horizontal="center" vertical="center" wrapText="1"/>
    </xf>
    <xf numFmtId="166" fontId="56" fillId="0" borderId="12" xfId="0" applyNumberFormat="1" applyFont="1" applyFill="1" applyBorder="1" applyAlignment="1">
      <alignment horizontal="center" vertical="center"/>
    </xf>
    <xf numFmtId="166" fontId="56" fillId="0" borderId="14" xfId="0" applyNumberFormat="1" applyFont="1" applyFill="1" applyBorder="1" applyAlignment="1">
      <alignment horizontal="center" vertical="center"/>
    </xf>
    <xf numFmtId="0" fontId="40" fillId="0" borderId="12" xfId="0" applyFont="1" applyBorder="1" applyAlignment="1">
      <alignment horizontal="left" vertical="center" wrapText="1"/>
    </xf>
    <xf numFmtId="0" fontId="40" fillId="0" borderId="13" xfId="0" applyFont="1" applyBorder="1" applyAlignment="1">
      <alignment horizontal="left" vertical="center" wrapText="1"/>
    </xf>
    <xf numFmtId="0" fontId="40" fillId="0" borderId="14" xfId="0" applyFont="1" applyBorder="1" applyAlignment="1">
      <alignment horizontal="left" vertical="center" wrapText="1"/>
    </xf>
    <xf numFmtId="4" fontId="29" fillId="22" borderId="10" xfId="0" applyNumberFormat="1" applyFont="1" applyFill="1" applyBorder="1" applyAlignment="1">
      <alignment horizontal="center" vertical="center"/>
    </xf>
    <xf numFmtId="0" fontId="26" fillId="25" borderId="16" xfId="0" applyFont="1" applyFill="1" applyBorder="1" applyAlignment="1">
      <alignment horizontal="right" vertical="center"/>
    </xf>
    <xf numFmtId="0" fontId="38" fillId="22" borderId="12" xfId="0" applyFont="1" applyFill="1" applyBorder="1" applyAlignment="1">
      <alignment horizontal="right" vertical="center"/>
    </xf>
    <xf numFmtId="0" fontId="38" fillId="22" borderId="13" xfId="0" applyFont="1" applyFill="1" applyBorder="1" applyAlignment="1">
      <alignment horizontal="right" vertical="center"/>
    </xf>
    <xf numFmtId="0" fontId="38" fillId="22" borderId="14" xfId="0" applyFont="1" applyFill="1" applyBorder="1" applyAlignment="1">
      <alignment horizontal="right" vertical="center"/>
    </xf>
    <xf numFmtId="166" fontId="56" fillId="0" borderId="12" xfId="0" applyNumberFormat="1" applyFont="1" applyFill="1" applyBorder="1" applyAlignment="1">
      <alignment horizontal="center" vertical="center" wrapText="1"/>
    </xf>
    <xf numFmtId="166" fontId="56" fillId="0" borderId="14" xfId="0" applyNumberFormat="1" applyFont="1" applyFill="1" applyBorder="1" applyAlignment="1">
      <alignment horizontal="center" vertical="center" wrapText="1"/>
    </xf>
    <xf numFmtId="0" fontId="40" fillId="0" borderId="12" xfId="0" applyFont="1" applyFill="1" applyBorder="1" applyAlignment="1">
      <alignment horizontal="left" vertical="center" wrapText="1"/>
    </xf>
    <xf numFmtId="0" fontId="40" fillId="0" borderId="13" xfId="0" applyFont="1" applyFill="1" applyBorder="1" applyAlignment="1">
      <alignment horizontal="left" vertical="center" wrapText="1"/>
    </xf>
    <xf numFmtId="0" fontId="40" fillId="0" borderId="14" xfId="0" applyFont="1" applyFill="1" applyBorder="1" applyAlignment="1">
      <alignment horizontal="left" vertical="center" wrapText="1"/>
    </xf>
    <xf numFmtId="4" fontId="26" fillId="0" borderId="10" xfId="0" applyNumberFormat="1" applyFont="1" applyBorder="1" applyAlignment="1">
      <alignment horizontal="center" vertical="center" wrapText="1"/>
    </xf>
    <xf numFmtId="4" fontId="26" fillId="0" borderId="91" xfId="0" applyNumberFormat="1" applyFont="1" applyBorder="1" applyAlignment="1">
      <alignment horizontal="center" vertical="center" wrapText="1"/>
    </xf>
    <xf numFmtId="4" fontId="26" fillId="0" borderId="58" xfId="0" applyNumberFormat="1" applyFont="1" applyBorder="1" applyAlignment="1">
      <alignment horizontal="center" vertical="center" wrapText="1"/>
    </xf>
    <xf numFmtId="4" fontId="26" fillId="0" borderId="92" xfId="0" applyNumberFormat="1" applyFont="1" applyBorder="1" applyAlignment="1">
      <alignment horizontal="center" vertical="center" wrapText="1"/>
    </xf>
    <xf numFmtId="0" fontId="26" fillId="0" borderId="93" xfId="0" applyFont="1" applyBorder="1" applyAlignment="1">
      <alignment horizontal="center" vertical="center" wrapText="1"/>
    </xf>
    <xf numFmtId="0" fontId="26" fillId="0" borderId="94" xfId="0" applyFont="1" applyBorder="1" applyAlignment="1">
      <alignment horizontal="center" vertical="center" wrapText="1"/>
    </xf>
    <xf numFmtId="0" fontId="26" fillId="0" borderId="95" xfId="0" applyFont="1" applyBorder="1" applyAlignment="1">
      <alignment horizontal="center" vertical="center" wrapText="1"/>
    </xf>
    <xf numFmtId="4" fontId="26" fillId="26" borderId="96" xfId="0" applyNumberFormat="1" applyFont="1" applyFill="1" applyBorder="1" applyAlignment="1">
      <alignment horizontal="center" vertical="center" wrapText="1"/>
    </xf>
    <xf numFmtId="4" fontId="26" fillId="26" borderId="97" xfId="0" applyNumberFormat="1" applyFont="1" applyFill="1" applyBorder="1" applyAlignment="1">
      <alignment horizontal="center" vertical="center" wrapText="1"/>
    </xf>
    <xf numFmtId="0" fontId="26" fillId="0" borderId="59" xfId="0" applyFont="1" applyBorder="1" applyAlignment="1">
      <alignment horizontal="left" vertical="center" wrapText="1"/>
    </xf>
    <xf numFmtId="0" fontId="26" fillId="0" borderId="98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6" fillId="26" borderId="60" xfId="0" applyFont="1" applyFill="1" applyBorder="1" applyAlignment="1">
      <alignment horizontal="left" vertical="center" wrapText="1"/>
    </xf>
    <xf numFmtId="0" fontId="26" fillId="26" borderId="99" xfId="0" applyFont="1" applyFill="1" applyBorder="1" applyAlignment="1">
      <alignment horizontal="left" vertical="center" wrapText="1"/>
    </xf>
    <xf numFmtId="0" fontId="26" fillId="26" borderId="100" xfId="0" applyFont="1" applyFill="1" applyBorder="1" applyAlignment="1">
      <alignment horizontal="left" vertical="center" wrapText="1"/>
    </xf>
    <xf numFmtId="49" fontId="24" fillId="0" borderId="10" xfId="0" applyNumberFormat="1" applyFont="1" applyFill="1" applyBorder="1" applyAlignment="1">
      <alignment horizontal="justify" vertical="center" wrapText="1"/>
    </xf>
    <xf numFmtId="49" fontId="26" fillId="25" borderId="10" xfId="0" applyNumberFormat="1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6" fillId="22" borderId="15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</cellXfs>
  <cellStyles count="46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Incorreto" xfId="31" xr:uid="{D1F6254B-42D2-4566-B689-BAD281204DC1}"/>
    <cellStyle name="Moeda" xfId="32" builtinId="4"/>
    <cellStyle name="Neutra" xfId="33" xr:uid="{916DC594-D22D-4FBC-8198-6D822C160C3C}"/>
    <cellStyle name="Normal" xfId="0" builtinId="0"/>
    <cellStyle name="Nota" xfId="34" builtinId="10" customBuiltin="1"/>
    <cellStyle name="Porcentagem" xfId="35" builtinId="5"/>
    <cellStyle name="Saída" xfId="36" builtinId="21" customBuiltin="1"/>
    <cellStyle name="Texto de Aviso" xfId="37" builtinId="11" customBuiltin="1"/>
    <cellStyle name="Texto Explicativo" xfId="38" builtinId="53" customBuiltin="1"/>
    <cellStyle name="Título 1" xfId="39" builtinId="16" customBuiltin="1"/>
    <cellStyle name="Título 2" xfId="40" builtinId="17" customBuiltin="1"/>
    <cellStyle name="Título 3" xfId="41" builtinId="18" customBuiltin="1"/>
    <cellStyle name="Título 4" xfId="42" builtinId="19" customBuiltin="1"/>
    <cellStyle name="Título 5" xfId="43" xr:uid="{03E74A8E-A370-407C-B42E-63B99E835E1A}"/>
    <cellStyle name="Total" xfId="44" builtinId="25" customBuiltin="1"/>
    <cellStyle name="Vírgula" xfId="45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2300DC"/>
      <rgbColor rgb="00009900"/>
      <rgbColor rgb="00800080"/>
      <rgbColor rgb="00006B6B"/>
      <rgbColor rgb="00C0C0C0"/>
      <rgbColor rgb="00808080"/>
      <rgbColor rgb="009999FF"/>
      <rgbColor rgb="00FF330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9933"/>
      <rgbColor rgb="000000CC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33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12</xdr:col>
      <xdr:colOff>548640</xdr:colOff>
      <xdr:row>44</xdr:row>
      <xdr:rowOff>198120</xdr:rowOff>
    </xdr:to>
    <xdr:pic>
      <xdr:nvPicPr>
        <xdr:cNvPr id="15425" name="Imagem 1">
          <a:extLst>
            <a:ext uri="{FF2B5EF4-FFF2-40B4-BE49-F238E27FC236}">
              <a16:creationId xmlns:a16="http://schemas.microsoft.com/office/drawing/2014/main" id="{03FF44B7-C243-7A47-E0FA-DCF4DE213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191500" cy="754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mzseguranca.com.br/" TargetMode="External"/><Relationship Id="rId2" Type="http://schemas.openxmlformats.org/officeDocument/2006/relationships/hyperlink" Target="https://grupodelta.net.br/servicos.html" TargetMode="External"/><Relationship Id="rId1" Type="http://schemas.openxmlformats.org/officeDocument/2006/relationships/hyperlink" Target="https://inviolavel.com/servicos/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F2D24-2CDB-47FC-AD85-79F461DD6595}">
  <dimension ref="A1:IV213"/>
  <sheetViews>
    <sheetView view="pageBreakPreview" topLeftCell="A186" zoomScale="120" zoomScaleNormal="120" zoomScaleSheetLayoutView="120" workbookViewId="0">
      <selection activeCell="K6" sqref="K6"/>
    </sheetView>
  </sheetViews>
  <sheetFormatPr defaultColWidth="9.28515625" defaultRowHeight="12" x14ac:dyDescent="0.2"/>
  <cols>
    <col min="1" max="1" width="15.28515625" style="1" customWidth="1"/>
    <col min="2" max="2" width="11.28515625" style="1" customWidth="1"/>
    <col min="3" max="3" width="13.28515625" style="1" customWidth="1"/>
    <col min="4" max="4" width="10.28515625" style="1" customWidth="1"/>
    <col min="5" max="5" width="12.42578125" style="1" customWidth="1"/>
    <col min="6" max="6" width="11.28515625" style="1" customWidth="1"/>
    <col min="7" max="7" width="9.7109375" style="1" customWidth="1"/>
    <col min="8" max="8" width="11.28515625" style="1" customWidth="1"/>
    <col min="9" max="9" width="16.7109375" style="2" customWidth="1"/>
    <col min="10" max="10" width="10.7109375" style="1" customWidth="1"/>
    <col min="11" max="11" width="11.28515625" style="1" customWidth="1"/>
    <col min="12" max="12" width="7.42578125" style="1" customWidth="1"/>
    <col min="13" max="13" width="6.5703125" style="1" customWidth="1"/>
    <col min="14" max="15" width="9.28515625" style="1" customWidth="1"/>
    <col min="16" max="16384" width="9.28515625" style="1"/>
  </cols>
  <sheetData>
    <row r="1" spans="1:11" x14ac:dyDescent="0.2">
      <c r="A1" s="109"/>
      <c r="B1" s="109"/>
      <c r="C1" s="109"/>
      <c r="D1" s="109"/>
      <c r="E1" s="109"/>
      <c r="F1" s="109"/>
      <c r="G1" s="109"/>
      <c r="H1" s="109"/>
      <c r="I1" s="112"/>
    </row>
    <row r="2" spans="1:11" ht="32.65" customHeight="1" x14ac:dyDescent="0.2">
      <c r="A2" s="408" t="s">
        <v>255</v>
      </c>
      <c r="B2" s="408"/>
      <c r="C2" s="408"/>
      <c r="D2" s="408"/>
      <c r="E2" s="408"/>
      <c r="F2" s="408"/>
      <c r="G2" s="408"/>
      <c r="H2" s="408"/>
      <c r="I2" s="408"/>
    </row>
    <row r="3" spans="1:11" ht="63" customHeight="1" x14ac:dyDescent="0.2">
      <c r="A3" s="409" t="s">
        <v>467</v>
      </c>
      <c r="B3" s="409"/>
      <c r="C3" s="409"/>
      <c r="D3" s="409"/>
      <c r="E3" s="409"/>
      <c r="F3" s="409"/>
      <c r="G3" s="409"/>
      <c r="H3" s="409"/>
      <c r="I3" s="409"/>
    </row>
    <row r="4" spans="1:11" ht="15.75" customHeight="1" x14ac:dyDescent="0.2">
      <c r="A4" s="329" t="s">
        <v>10</v>
      </c>
      <c r="B4" s="329"/>
      <c r="C4" s="329"/>
      <c r="D4" s="329"/>
      <c r="E4" s="329"/>
      <c r="F4" s="401"/>
      <c r="G4" s="401"/>
      <c r="H4" s="401"/>
      <c r="I4" s="401"/>
    </row>
    <row r="5" spans="1:11" ht="15.75" customHeight="1" x14ac:dyDescent="0.2">
      <c r="A5" s="329" t="s">
        <v>11</v>
      </c>
      <c r="B5" s="329"/>
      <c r="C5" s="329"/>
      <c r="D5" s="329"/>
      <c r="E5" s="329"/>
      <c r="F5" s="401"/>
      <c r="G5" s="401"/>
      <c r="H5" s="401"/>
      <c r="I5" s="401"/>
    </row>
    <row r="6" spans="1:11" ht="14.85" customHeight="1" x14ac:dyDescent="0.2">
      <c r="A6" s="358" t="s">
        <v>222</v>
      </c>
      <c r="B6" s="407"/>
      <c r="C6" s="407"/>
      <c r="D6" s="407"/>
      <c r="E6" s="407"/>
      <c r="F6" s="401"/>
      <c r="G6" s="401"/>
      <c r="H6" s="401"/>
      <c r="I6" s="401"/>
    </row>
    <row r="7" spans="1:11" ht="20.25" customHeight="1" x14ac:dyDescent="0.2">
      <c r="A7" s="307" t="s">
        <v>12</v>
      </c>
      <c r="B7" s="307"/>
      <c r="C7" s="307"/>
      <c r="D7" s="307"/>
      <c r="E7" s="307"/>
      <c r="F7" s="307"/>
      <c r="G7" s="307"/>
      <c r="H7" s="307"/>
      <c r="I7" s="307"/>
    </row>
    <row r="8" spans="1:11" ht="19.5" customHeight="1" x14ac:dyDescent="0.2">
      <c r="A8" s="3" t="s">
        <v>13</v>
      </c>
      <c r="B8" s="329" t="s">
        <v>14</v>
      </c>
      <c r="C8" s="329"/>
      <c r="D8" s="329"/>
      <c r="E8" s="329"/>
      <c r="F8" s="329"/>
      <c r="G8" s="329"/>
      <c r="H8" s="406"/>
      <c r="I8" s="406"/>
    </row>
    <row r="9" spans="1:11" ht="19.5" customHeight="1" x14ac:dyDescent="0.2">
      <c r="A9" s="3" t="s">
        <v>15</v>
      </c>
      <c r="B9" s="329" t="s">
        <v>16</v>
      </c>
      <c r="C9" s="329"/>
      <c r="D9" s="329"/>
      <c r="E9" s="329"/>
      <c r="F9" s="329"/>
      <c r="G9" s="329"/>
      <c r="H9" s="401" t="s">
        <v>223</v>
      </c>
      <c r="I9" s="401"/>
    </row>
    <row r="10" spans="1:11" ht="19.5" customHeight="1" x14ac:dyDescent="0.2">
      <c r="A10" s="3" t="s">
        <v>17</v>
      </c>
      <c r="B10" s="329" t="s">
        <v>18</v>
      </c>
      <c r="C10" s="329"/>
      <c r="D10" s="329"/>
      <c r="E10" s="329"/>
      <c r="F10" s="329"/>
      <c r="G10" s="329"/>
      <c r="H10" s="401" t="s">
        <v>445</v>
      </c>
      <c r="I10" s="401"/>
    </row>
    <row r="11" spans="1:11" ht="19.5" customHeight="1" x14ac:dyDescent="0.2">
      <c r="A11" s="3" t="s">
        <v>19</v>
      </c>
      <c r="B11" s="329" t="s">
        <v>218</v>
      </c>
      <c r="C11" s="329"/>
      <c r="D11" s="329"/>
      <c r="E11" s="329"/>
      <c r="F11" s="329"/>
      <c r="G11" s="329"/>
      <c r="H11" s="402">
        <v>60</v>
      </c>
      <c r="I11" s="402"/>
      <c r="K11" s="4"/>
    </row>
    <row r="12" spans="1:11" ht="21.4" customHeight="1" x14ac:dyDescent="0.2">
      <c r="A12" s="403" t="s">
        <v>20</v>
      </c>
      <c r="B12" s="403"/>
      <c r="C12" s="403"/>
      <c r="D12" s="403"/>
      <c r="E12" s="403"/>
      <c r="F12" s="403"/>
      <c r="G12" s="403"/>
      <c r="H12" s="403"/>
      <c r="I12" s="403"/>
    </row>
    <row r="13" spans="1:11" ht="50.65" customHeight="1" x14ac:dyDescent="0.2">
      <c r="A13" s="404" t="s">
        <v>221</v>
      </c>
      <c r="B13" s="404"/>
      <c r="C13" s="404"/>
      <c r="D13" s="404"/>
      <c r="E13" s="404"/>
      <c r="F13" s="399" t="s">
        <v>21</v>
      </c>
      <c r="G13" s="399"/>
      <c r="H13" s="405" t="s">
        <v>22</v>
      </c>
      <c r="I13" s="405"/>
    </row>
    <row r="14" spans="1:11" ht="12.75" customHeight="1" x14ac:dyDescent="0.2">
      <c r="A14" s="329" t="s">
        <v>25</v>
      </c>
      <c r="B14" s="329"/>
      <c r="C14" s="329"/>
      <c r="D14" s="329"/>
      <c r="E14" s="329"/>
      <c r="F14" s="281" t="s">
        <v>23</v>
      </c>
      <c r="G14" s="281"/>
      <c r="H14" s="397" t="s">
        <v>24</v>
      </c>
      <c r="I14" s="397"/>
    </row>
    <row r="15" spans="1:11" ht="12.75" customHeight="1" x14ac:dyDescent="0.2">
      <c r="A15" s="398" t="s">
        <v>26</v>
      </c>
      <c r="B15" s="398"/>
      <c r="C15" s="398"/>
      <c r="D15" s="398"/>
      <c r="E15" s="398"/>
      <c r="F15" s="399" t="s">
        <v>23</v>
      </c>
      <c r="G15" s="399"/>
      <c r="H15" s="400">
        <v>2</v>
      </c>
      <c r="I15" s="400"/>
    </row>
    <row r="16" spans="1:11" ht="12.75" customHeight="1" x14ac:dyDescent="0.2">
      <c r="A16" s="393" t="s">
        <v>27</v>
      </c>
      <c r="B16" s="393"/>
      <c r="C16" s="393"/>
      <c r="D16" s="393"/>
      <c r="E16" s="393"/>
      <c r="F16" s="393"/>
      <c r="G16" s="393"/>
      <c r="H16" s="394">
        <f>SUM(H14:H15)</f>
        <v>2</v>
      </c>
      <c r="I16" s="394"/>
    </row>
    <row r="17" spans="1:256" ht="8.25" customHeight="1" x14ac:dyDescent="0.2">
      <c r="A17" s="362"/>
      <c r="B17" s="362"/>
      <c r="C17" s="362"/>
      <c r="D17" s="362"/>
      <c r="E17" s="362"/>
      <c r="F17" s="362"/>
      <c r="G17" s="362"/>
      <c r="H17" s="362"/>
      <c r="I17" s="362"/>
    </row>
    <row r="18" spans="1:256" ht="43.9" customHeight="1" x14ac:dyDescent="0.2">
      <c r="A18" s="395" t="s">
        <v>28</v>
      </c>
      <c r="B18" s="395"/>
      <c r="C18" s="395"/>
      <c r="D18" s="395"/>
      <c r="E18" s="395"/>
      <c r="F18" s="395"/>
      <c r="G18" s="395"/>
      <c r="H18" s="395"/>
      <c r="I18" s="395"/>
      <c r="J18" s="6"/>
      <c r="K18" s="7"/>
      <c r="L18" s="8"/>
    </row>
    <row r="19" spans="1:256" ht="7.5" customHeight="1" x14ac:dyDescent="0.2">
      <c r="A19" s="360"/>
      <c r="B19" s="360"/>
      <c r="C19" s="360"/>
      <c r="D19" s="360"/>
      <c r="E19" s="360"/>
      <c r="F19" s="360"/>
      <c r="G19" s="360"/>
      <c r="H19" s="360"/>
      <c r="I19" s="360"/>
      <c r="J19" s="6"/>
      <c r="K19" s="7"/>
      <c r="L19" s="8"/>
    </row>
    <row r="20" spans="1:256" ht="52.15" customHeight="1" x14ac:dyDescent="0.3">
      <c r="A20" s="396" t="s">
        <v>29</v>
      </c>
      <c r="B20" s="396"/>
      <c r="C20" s="396"/>
      <c r="D20" s="396"/>
      <c r="E20" s="396"/>
      <c r="F20" s="396"/>
      <c r="G20" s="396"/>
      <c r="H20" s="396"/>
      <c r="I20" s="396"/>
      <c r="J20" s="6"/>
      <c r="K20" s="7"/>
      <c r="L20" s="8"/>
    </row>
    <row r="21" spans="1:256" ht="10.35" customHeight="1" x14ac:dyDescent="0.25">
      <c r="A21" s="392"/>
      <c r="B21" s="392"/>
      <c r="C21" s="392"/>
      <c r="D21" s="392"/>
      <c r="E21" s="392"/>
      <c r="F21" s="392"/>
      <c r="G21" s="392"/>
      <c r="H21" s="392"/>
      <c r="I21" s="392"/>
      <c r="J21" s="6"/>
      <c r="K21" s="7"/>
      <c r="L21" s="8"/>
    </row>
    <row r="22" spans="1:256" s="9" customFormat="1" ht="21.75" customHeight="1" x14ac:dyDescent="0.2">
      <c r="A22" s="307" t="s">
        <v>30</v>
      </c>
      <c r="B22" s="307"/>
      <c r="C22" s="307"/>
      <c r="D22" s="307"/>
      <c r="E22" s="307"/>
      <c r="F22" s="307"/>
      <c r="G22" s="307"/>
      <c r="H22" s="307"/>
      <c r="I22" s="307"/>
      <c r="J22" s="389"/>
      <c r="K22" s="389"/>
      <c r="L22" s="389"/>
      <c r="M22" s="389"/>
      <c r="N22" s="389"/>
      <c r="O22" s="389"/>
      <c r="P22" s="389"/>
      <c r="Q22" s="389"/>
      <c r="R22" s="389"/>
      <c r="S22" s="389"/>
      <c r="T22" s="389"/>
      <c r="U22" s="389"/>
      <c r="V22" s="389"/>
      <c r="W22" s="389"/>
      <c r="X22" s="389"/>
      <c r="Y22" s="389"/>
      <c r="Z22" s="389"/>
      <c r="AA22" s="389"/>
      <c r="AB22" s="389"/>
      <c r="AC22" s="389"/>
      <c r="AD22" s="389"/>
      <c r="AE22" s="389"/>
      <c r="AF22" s="389"/>
      <c r="AG22" s="389"/>
      <c r="AH22" s="389"/>
      <c r="AI22" s="389"/>
      <c r="AJ22" s="389"/>
      <c r="AK22" s="389"/>
      <c r="AL22" s="389"/>
      <c r="AM22" s="389"/>
      <c r="AN22" s="389"/>
      <c r="AO22" s="389"/>
      <c r="AP22" s="389"/>
      <c r="AQ22" s="389"/>
      <c r="AR22" s="389"/>
      <c r="AS22" s="389"/>
      <c r="AT22" s="389"/>
      <c r="AU22" s="389"/>
      <c r="AV22" s="389"/>
      <c r="AW22" s="389"/>
      <c r="AX22" s="389"/>
      <c r="AY22" s="389"/>
      <c r="AZ22" s="389"/>
      <c r="BA22" s="389"/>
      <c r="BB22" s="389"/>
      <c r="BC22" s="389"/>
      <c r="BD22" s="389"/>
      <c r="BE22" s="389"/>
      <c r="BF22" s="389"/>
      <c r="BG22" s="389"/>
      <c r="BH22" s="389"/>
      <c r="BI22" s="389"/>
      <c r="BJ22" s="389"/>
      <c r="BK22" s="389"/>
      <c r="BL22" s="389"/>
      <c r="BM22" s="389"/>
      <c r="BN22" s="389"/>
      <c r="BO22" s="389"/>
      <c r="BP22" s="389"/>
      <c r="BQ22" s="389"/>
      <c r="BR22" s="389"/>
      <c r="BS22" s="389"/>
      <c r="BT22" s="389"/>
      <c r="BU22" s="389"/>
      <c r="BV22" s="389"/>
      <c r="BW22" s="389"/>
      <c r="BX22" s="389"/>
      <c r="BY22" s="389"/>
      <c r="BZ22" s="389"/>
      <c r="CA22" s="389"/>
      <c r="CB22" s="389"/>
      <c r="CC22" s="389"/>
      <c r="CD22" s="389"/>
      <c r="CE22" s="389"/>
      <c r="CF22" s="389"/>
      <c r="CG22" s="389"/>
      <c r="CH22" s="389"/>
      <c r="CI22" s="389"/>
      <c r="CJ22" s="389"/>
      <c r="CK22" s="389"/>
      <c r="CL22" s="389"/>
      <c r="CM22" s="389"/>
      <c r="CN22" s="389"/>
      <c r="CO22" s="389"/>
      <c r="CP22" s="389"/>
      <c r="CQ22" s="389"/>
      <c r="CR22" s="389"/>
      <c r="CS22" s="389"/>
      <c r="CT22" s="389"/>
      <c r="CU22" s="389"/>
      <c r="CV22" s="389"/>
      <c r="CW22" s="389"/>
      <c r="CX22" s="389"/>
      <c r="CY22" s="389"/>
      <c r="CZ22" s="389"/>
      <c r="DA22" s="389"/>
      <c r="DB22" s="389"/>
      <c r="DC22" s="389"/>
      <c r="DD22" s="389"/>
      <c r="DE22" s="389"/>
      <c r="DF22" s="389"/>
      <c r="DG22" s="389"/>
      <c r="DH22" s="389"/>
      <c r="DI22" s="389"/>
      <c r="DJ22" s="389"/>
      <c r="DK22" s="389"/>
      <c r="DL22" s="389"/>
      <c r="DM22" s="389"/>
      <c r="DN22" s="389"/>
      <c r="DO22" s="389"/>
      <c r="DP22" s="389"/>
      <c r="DQ22" s="389"/>
      <c r="DR22" s="389"/>
      <c r="DS22" s="389"/>
      <c r="DT22" s="389"/>
      <c r="DU22" s="389"/>
      <c r="DV22" s="389"/>
      <c r="DW22" s="389"/>
      <c r="DX22" s="389"/>
      <c r="DY22" s="389"/>
      <c r="DZ22" s="389"/>
      <c r="EA22" s="389"/>
      <c r="EB22" s="389"/>
      <c r="EC22" s="389"/>
      <c r="ED22" s="389"/>
      <c r="EE22" s="389"/>
      <c r="EF22" s="389"/>
      <c r="EG22" s="389"/>
      <c r="EH22" s="389"/>
      <c r="EI22" s="389"/>
      <c r="EJ22" s="389"/>
      <c r="EK22" s="389"/>
      <c r="EL22" s="389"/>
      <c r="EM22" s="389"/>
      <c r="EN22" s="389"/>
      <c r="EO22" s="389"/>
      <c r="EP22" s="389"/>
      <c r="EQ22" s="389"/>
      <c r="ER22" s="389"/>
      <c r="ES22" s="389"/>
      <c r="ET22" s="389"/>
      <c r="EU22" s="389"/>
      <c r="EV22" s="389"/>
      <c r="EW22" s="389"/>
      <c r="EX22" s="389"/>
      <c r="EY22" s="389"/>
      <c r="EZ22" s="389"/>
      <c r="FA22" s="389"/>
      <c r="FB22" s="389"/>
      <c r="FC22" s="389"/>
      <c r="FD22" s="389"/>
      <c r="FE22" s="389"/>
      <c r="FF22" s="389"/>
      <c r="FG22" s="389"/>
      <c r="FH22" s="389"/>
      <c r="FI22" s="389"/>
      <c r="FJ22" s="389"/>
      <c r="FK22" s="389"/>
      <c r="FL22" s="389"/>
      <c r="FM22" s="389"/>
      <c r="FN22" s="389"/>
      <c r="FO22" s="389"/>
      <c r="FP22" s="389"/>
      <c r="FQ22" s="389"/>
      <c r="FR22" s="389"/>
      <c r="FS22" s="389"/>
      <c r="FT22" s="389"/>
      <c r="FU22" s="389"/>
      <c r="FV22" s="389"/>
      <c r="FW22" s="389"/>
      <c r="FX22" s="389"/>
      <c r="FY22" s="389"/>
      <c r="FZ22" s="389"/>
      <c r="GA22" s="389"/>
      <c r="GB22" s="389"/>
      <c r="GC22" s="389"/>
      <c r="GD22" s="389"/>
      <c r="GE22" s="389"/>
      <c r="GF22" s="389"/>
      <c r="GG22" s="389"/>
      <c r="GH22" s="389"/>
      <c r="GI22" s="389"/>
      <c r="GJ22" s="389"/>
      <c r="GK22" s="389"/>
      <c r="GL22" s="389"/>
      <c r="GM22" s="389"/>
      <c r="GN22" s="389"/>
      <c r="GO22" s="389"/>
      <c r="GP22" s="389"/>
      <c r="GQ22" s="389"/>
      <c r="GR22" s="389"/>
      <c r="GS22" s="389"/>
      <c r="GT22" s="389"/>
      <c r="GU22" s="389"/>
      <c r="GV22" s="389"/>
      <c r="GW22" s="389"/>
      <c r="GX22" s="389"/>
      <c r="GY22" s="389"/>
      <c r="GZ22" s="389"/>
      <c r="HA22" s="389"/>
      <c r="HB22" s="389"/>
      <c r="HC22" s="389"/>
      <c r="HD22" s="389"/>
      <c r="HE22" s="389"/>
      <c r="HF22" s="389"/>
      <c r="HG22" s="389"/>
      <c r="HH22" s="389"/>
      <c r="HI22" s="389"/>
      <c r="HJ22" s="389"/>
      <c r="HK22" s="389"/>
      <c r="HL22" s="389"/>
      <c r="HM22" s="389"/>
      <c r="HN22" s="389"/>
      <c r="HO22" s="389"/>
      <c r="HP22" s="389"/>
      <c r="HQ22" s="389"/>
      <c r="HR22" s="389"/>
      <c r="HS22" s="389"/>
      <c r="HT22" s="389"/>
      <c r="HU22" s="389"/>
      <c r="HV22" s="389"/>
      <c r="HW22" s="389"/>
      <c r="HX22" s="389"/>
      <c r="HY22" s="389"/>
      <c r="HZ22" s="389"/>
      <c r="IA22" s="389"/>
      <c r="IB22" s="389"/>
      <c r="IC22" s="389"/>
      <c r="ID22" s="389"/>
      <c r="IE22" s="389"/>
      <c r="IF22" s="389"/>
      <c r="IG22" s="389"/>
      <c r="IH22" s="389"/>
      <c r="II22" s="389"/>
      <c r="IJ22" s="389"/>
      <c r="IK22" s="389"/>
      <c r="IL22" s="389"/>
      <c r="IM22" s="389"/>
      <c r="IN22" s="389"/>
      <c r="IO22" s="389"/>
      <c r="IP22" s="389"/>
      <c r="IQ22" s="389"/>
      <c r="IR22" s="389"/>
      <c r="IS22" s="389"/>
      <c r="IT22" s="389"/>
      <c r="IU22" s="389"/>
      <c r="IV22" s="389"/>
    </row>
    <row r="23" spans="1:256" ht="27.6" customHeight="1" x14ac:dyDescent="0.2">
      <c r="A23" s="3">
        <v>1</v>
      </c>
      <c r="B23" s="329" t="s">
        <v>31</v>
      </c>
      <c r="C23" s="329"/>
      <c r="D23" s="329"/>
      <c r="E23" s="329"/>
      <c r="F23" s="329"/>
      <c r="G23" s="329"/>
      <c r="H23" s="390" t="s">
        <v>32</v>
      </c>
      <c r="I23" s="390"/>
    </row>
    <row r="24" spans="1:256" ht="19.5" customHeight="1" x14ac:dyDescent="0.2">
      <c r="A24" s="10">
        <v>2</v>
      </c>
      <c r="B24" s="378" t="s">
        <v>33</v>
      </c>
      <c r="C24" s="378"/>
      <c r="D24" s="378"/>
      <c r="E24" s="378"/>
      <c r="F24" s="378"/>
      <c r="G24" s="378"/>
      <c r="H24" s="391" t="s">
        <v>34</v>
      </c>
      <c r="I24" s="391"/>
    </row>
    <row r="25" spans="1:256" ht="15.75" customHeight="1" x14ac:dyDescent="0.2">
      <c r="A25" s="3">
        <v>3</v>
      </c>
      <c r="B25" s="329" t="s">
        <v>35</v>
      </c>
      <c r="C25" s="329"/>
      <c r="D25" s="329"/>
      <c r="E25" s="329"/>
      <c r="F25" s="329"/>
      <c r="G25" s="329"/>
      <c r="H25" s="386">
        <v>1977.8</v>
      </c>
      <c r="I25" s="386"/>
      <c r="J25" s="156">
        <v>1883.2</v>
      </c>
      <c r="K25" s="156">
        <v>1977.8</v>
      </c>
    </row>
    <row r="26" spans="1:256" ht="15.75" customHeight="1" x14ac:dyDescent="0.2">
      <c r="A26" s="3">
        <v>4</v>
      </c>
      <c r="B26" s="329" t="s">
        <v>36</v>
      </c>
      <c r="C26" s="329"/>
      <c r="D26" s="329"/>
      <c r="E26" s="329"/>
      <c r="F26" s="329"/>
      <c r="G26" s="329"/>
      <c r="H26" s="387" t="s">
        <v>37</v>
      </c>
      <c r="I26" s="387"/>
    </row>
    <row r="27" spans="1:256" ht="15.75" customHeight="1" x14ac:dyDescent="0.2">
      <c r="A27" s="3">
        <v>5</v>
      </c>
      <c r="B27" s="329" t="s">
        <v>38</v>
      </c>
      <c r="C27" s="329"/>
      <c r="D27" s="329"/>
      <c r="E27" s="329"/>
      <c r="F27" s="329"/>
      <c r="G27" s="329"/>
      <c r="H27" s="388" t="s">
        <v>445</v>
      </c>
      <c r="I27" s="388"/>
    </row>
    <row r="28" spans="1:256" ht="27.6" customHeight="1" x14ac:dyDescent="0.2">
      <c r="A28" s="11">
        <v>6</v>
      </c>
      <c r="B28" s="363" t="s">
        <v>39</v>
      </c>
      <c r="C28" s="363"/>
      <c r="D28" s="363"/>
      <c r="E28" s="363"/>
      <c r="F28" s="363"/>
      <c r="G28" s="363"/>
      <c r="H28" s="382">
        <f>ROUND((H25/220),2)</f>
        <v>8.99</v>
      </c>
      <c r="I28" s="382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ht="23.25" customHeight="1" x14ac:dyDescent="0.2">
      <c r="A29" s="11">
        <v>7</v>
      </c>
      <c r="B29" s="363" t="s">
        <v>40</v>
      </c>
      <c r="C29" s="363"/>
      <c r="D29" s="363"/>
      <c r="E29" s="363"/>
      <c r="F29" s="363"/>
      <c r="G29" s="363"/>
      <c r="H29" s="385">
        <f>TRUNC(H28*1.5,2)</f>
        <v>13.48</v>
      </c>
      <c r="I29" s="385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ht="26.25" customHeight="1" x14ac:dyDescent="0.2">
      <c r="A30" s="11">
        <v>8</v>
      </c>
      <c r="B30" s="363" t="s">
        <v>41</v>
      </c>
      <c r="C30" s="363"/>
      <c r="D30" s="363"/>
      <c r="E30" s="363"/>
      <c r="F30" s="363"/>
      <c r="G30" s="363"/>
      <c r="H30" s="382">
        <f>ROUND(H28*0.2,2)</f>
        <v>1.8</v>
      </c>
      <c r="I30" s="382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ht="16.5" customHeight="1" x14ac:dyDescent="0.2">
      <c r="A31" s="11">
        <v>9</v>
      </c>
      <c r="B31" s="363" t="s">
        <v>42</v>
      </c>
      <c r="C31" s="363"/>
      <c r="D31" s="363"/>
      <c r="E31" s="363"/>
      <c r="F31" s="363"/>
      <c r="G31" s="363"/>
      <c r="H31" s="382">
        <f>ROUND(H28/6,2)</f>
        <v>1.5</v>
      </c>
      <c r="I31" s="382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ht="15.75" customHeight="1" x14ac:dyDescent="0.2">
      <c r="A32" s="11">
        <v>10</v>
      </c>
      <c r="B32" s="383" t="s">
        <v>43</v>
      </c>
      <c r="C32" s="383"/>
      <c r="D32" s="383"/>
      <c r="E32" s="383"/>
      <c r="F32" s="383"/>
      <c r="G32" s="383"/>
      <c r="H32" s="384">
        <v>2</v>
      </c>
      <c r="I32" s="384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12" ht="9" customHeight="1" x14ac:dyDescent="0.2">
      <c r="A33" s="360"/>
      <c r="B33" s="360"/>
      <c r="C33" s="360"/>
      <c r="D33" s="360"/>
      <c r="E33" s="360"/>
      <c r="F33" s="360"/>
      <c r="G33" s="360"/>
      <c r="H33" s="360"/>
      <c r="I33" s="360"/>
    </row>
    <row r="34" spans="1:12" ht="21.75" customHeight="1" x14ac:dyDescent="0.2">
      <c r="A34" s="361" t="s">
        <v>44</v>
      </c>
      <c r="B34" s="361"/>
      <c r="C34" s="361"/>
      <c r="D34" s="361"/>
      <c r="E34" s="361"/>
      <c r="F34" s="361"/>
      <c r="G34" s="361"/>
      <c r="H34" s="361"/>
      <c r="I34" s="361"/>
    </row>
    <row r="35" spans="1:12" ht="9" customHeight="1" x14ac:dyDescent="0.2">
      <c r="A35" s="380"/>
      <c r="B35" s="380"/>
      <c r="C35" s="380"/>
      <c r="D35" s="380"/>
      <c r="E35" s="380"/>
      <c r="F35" s="380"/>
      <c r="G35" s="380"/>
      <c r="H35" s="380"/>
      <c r="I35" s="380"/>
    </row>
    <row r="36" spans="1:12" ht="20.25" customHeight="1" x14ac:dyDescent="0.2">
      <c r="A36" s="381" t="s">
        <v>45</v>
      </c>
      <c r="B36" s="381"/>
      <c r="C36" s="381"/>
      <c r="D36" s="381"/>
      <c r="E36" s="381"/>
      <c r="F36" s="381"/>
      <c r="G36" s="381"/>
      <c r="H36" s="381"/>
      <c r="I36" s="381"/>
    </row>
    <row r="37" spans="1:12" s="15" customFormat="1" ht="30.4" customHeight="1" x14ac:dyDescent="0.2">
      <c r="A37" s="12">
        <v>1</v>
      </c>
      <c r="B37" s="327" t="s">
        <v>46</v>
      </c>
      <c r="C37" s="327"/>
      <c r="D37" s="327"/>
      <c r="E37" s="327"/>
      <c r="F37" s="327"/>
      <c r="G37" s="327"/>
      <c r="H37" s="14" t="s">
        <v>47</v>
      </c>
      <c r="I37" s="12" t="s">
        <v>48</v>
      </c>
    </row>
    <row r="38" spans="1:12" ht="19.5" customHeight="1" x14ac:dyDescent="0.2">
      <c r="A38" s="3" t="s">
        <v>13</v>
      </c>
      <c r="B38" s="329" t="s">
        <v>446</v>
      </c>
      <c r="C38" s="329"/>
      <c r="D38" s="329"/>
      <c r="E38" s="329"/>
      <c r="F38" s="329"/>
      <c r="G38" s="329"/>
      <c r="H38" s="329"/>
      <c r="I38" s="16">
        <f>H25*H32</f>
        <v>3955.6</v>
      </c>
    </row>
    <row r="39" spans="1:12" ht="38.65" customHeight="1" x14ac:dyDescent="0.2">
      <c r="A39" s="3" t="s">
        <v>15</v>
      </c>
      <c r="B39" s="329" t="s">
        <v>447</v>
      </c>
      <c r="C39" s="329"/>
      <c r="D39" s="329"/>
      <c r="E39" s="329"/>
      <c r="F39" s="329"/>
      <c r="G39" s="329"/>
      <c r="H39" s="329"/>
      <c r="I39" s="16">
        <f>ROUND(2*8*15*H30,2)</f>
        <v>432</v>
      </c>
    </row>
    <row r="40" spans="1:12" ht="51.6" customHeight="1" x14ac:dyDescent="0.2">
      <c r="A40" s="3" t="s">
        <v>17</v>
      </c>
      <c r="B40" s="378" t="s">
        <v>448</v>
      </c>
      <c r="C40" s="378"/>
      <c r="D40" s="378"/>
      <c r="E40" s="378"/>
      <c r="F40" s="378"/>
      <c r="G40" s="378"/>
      <c r="H40" s="378"/>
      <c r="I40" s="16">
        <f>ROUND(H32*(((12*15)+15)-((44/6)*26))*H29,2)*0+ROUND(2*4.33*H29,2)</f>
        <v>116.74</v>
      </c>
    </row>
    <row r="41" spans="1:12" ht="29.25" customHeight="1" x14ac:dyDescent="0.2">
      <c r="A41" s="3" t="s">
        <v>19</v>
      </c>
      <c r="B41" s="378" t="s">
        <v>449</v>
      </c>
      <c r="C41" s="378"/>
      <c r="D41" s="378"/>
      <c r="E41" s="378"/>
      <c r="F41" s="378"/>
      <c r="G41" s="378"/>
      <c r="H41" s="378"/>
      <c r="I41" s="16">
        <f>ROUND(H31*H32*15,2)</f>
        <v>45</v>
      </c>
    </row>
    <row r="42" spans="1:12" ht="39.4" customHeight="1" x14ac:dyDescent="0.2">
      <c r="A42" s="3" t="s">
        <v>49</v>
      </c>
      <c r="B42" s="329" t="s">
        <v>451</v>
      </c>
      <c r="C42" s="329"/>
      <c r="D42" s="329"/>
      <c r="E42" s="329"/>
      <c r="F42" s="329"/>
      <c r="G42" s="329"/>
      <c r="H42" s="329"/>
      <c r="I42" s="16">
        <f>ROUND(SUM(I39:I41)*0.2,2)</f>
        <v>118.75</v>
      </c>
    </row>
    <row r="43" spans="1:12" ht="24.75" customHeight="1" x14ac:dyDescent="0.2">
      <c r="A43" s="3" t="s">
        <v>50</v>
      </c>
      <c r="B43" s="379" t="s">
        <v>450</v>
      </c>
      <c r="C43" s="379"/>
      <c r="D43" s="379"/>
      <c r="E43" s="379"/>
      <c r="F43" s="379"/>
      <c r="G43" s="379"/>
      <c r="H43" s="17">
        <v>0.3</v>
      </c>
      <c r="I43" s="16">
        <f>ROUND(H43*SUM(I38:I42),2)</f>
        <v>1400.43</v>
      </c>
    </row>
    <row r="44" spans="1:12" ht="18.75" customHeight="1" x14ac:dyDescent="0.2">
      <c r="A44" s="3" t="s">
        <v>51</v>
      </c>
      <c r="B44" s="329" t="s">
        <v>52</v>
      </c>
      <c r="C44" s="329"/>
      <c r="D44" s="329"/>
      <c r="E44" s="329"/>
      <c r="F44" s="329"/>
      <c r="G44" s="329"/>
      <c r="H44" s="329"/>
      <c r="I44" s="18" t="s">
        <v>24</v>
      </c>
    </row>
    <row r="45" spans="1:12" ht="27.75" customHeight="1" x14ac:dyDescent="0.2">
      <c r="A45" s="374" t="s">
        <v>2</v>
      </c>
      <c r="B45" s="374"/>
      <c r="C45" s="374"/>
      <c r="D45" s="374"/>
      <c r="E45" s="374"/>
      <c r="F45" s="374"/>
      <c r="G45" s="374"/>
      <c r="H45" s="374"/>
      <c r="I45" s="20">
        <f>SUM(I38:I44)</f>
        <v>6068.52</v>
      </c>
    </row>
    <row r="46" spans="1:12" ht="9.75" customHeight="1" x14ac:dyDescent="0.2">
      <c r="A46" s="376"/>
      <c r="B46" s="376"/>
      <c r="C46" s="376"/>
      <c r="D46" s="376"/>
      <c r="E46" s="376"/>
      <c r="F46" s="376"/>
      <c r="G46" s="376"/>
      <c r="H46" s="376"/>
      <c r="I46" s="376"/>
    </row>
    <row r="47" spans="1:12" ht="29.25" customHeight="1" x14ac:dyDescent="0.2">
      <c r="A47" s="3" t="s">
        <v>53</v>
      </c>
      <c r="B47" s="329" t="s">
        <v>452</v>
      </c>
      <c r="C47" s="329"/>
      <c r="D47" s="329"/>
      <c r="E47" s="329"/>
      <c r="F47" s="329"/>
      <c r="G47" s="329"/>
      <c r="H47" s="329"/>
      <c r="I47" s="16">
        <f>ROUND(H29*15*H32*0.5,2)</f>
        <v>202.2</v>
      </c>
      <c r="L47" s="19"/>
    </row>
    <row r="48" spans="1:12" ht="39" customHeight="1" x14ac:dyDescent="0.2">
      <c r="A48" s="374" t="s">
        <v>226</v>
      </c>
      <c r="B48" s="374"/>
      <c r="C48" s="374"/>
      <c r="D48" s="374"/>
      <c r="E48" s="374"/>
      <c r="F48" s="374"/>
      <c r="G48" s="374"/>
      <c r="H48" s="374"/>
      <c r="I48" s="20">
        <f>I47</f>
        <v>202.2</v>
      </c>
    </row>
    <row r="49" spans="1:9" ht="15.75" customHeight="1" x14ac:dyDescent="0.2">
      <c r="A49" s="362"/>
      <c r="B49" s="362"/>
      <c r="C49" s="362"/>
      <c r="D49" s="362"/>
      <c r="E49" s="362"/>
      <c r="F49" s="362"/>
      <c r="G49" s="362"/>
      <c r="H49" s="362"/>
      <c r="I49" s="362"/>
    </row>
    <row r="50" spans="1:9" ht="45" customHeight="1" x14ac:dyDescent="0.2">
      <c r="A50" s="375" t="s">
        <v>3</v>
      </c>
      <c r="B50" s="375"/>
      <c r="C50" s="375"/>
      <c r="D50" s="375"/>
      <c r="E50" s="375"/>
      <c r="F50" s="375"/>
      <c r="G50" s="375"/>
      <c r="H50" s="375"/>
      <c r="I50" s="21">
        <f>I45+I48</f>
        <v>6270.72</v>
      </c>
    </row>
    <row r="51" spans="1:9" ht="9.4" customHeight="1" x14ac:dyDescent="0.2">
      <c r="A51" s="376"/>
      <c r="B51" s="376"/>
      <c r="C51" s="376"/>
      <c r="D51" s="376"/>
      <c r="E51" s="376"/>
      <c r="F51" s="376"/>
      <c r="G51" s="376"/>
      <c r="H51" s="376"/>
      <c r="I51" s="376"/>
    </row>
    <row r="52" spans="1:9" ht="17.25" customHeight="1" x14ac:dyDescent="0.2">
      <c r="A52" s="377" t="s">
        <v>54</v>
      </c>
      <c r="B52" s="377"/>
      <c r="C52" s="377"/>
      <c r="D52" s="377"/>
      <c r="E52" s="377"/>
      <c r="F52" s="377"/>
      <c r="G52" s="377"/>
      <c r="H52" s="377"/>
      <c r="I52" s="377"/>
    </row>
    <row r="53" spans="1:9" ht="8.65" customHeight="1" x14ac:dyDescent="0.2">
      <c r="A53" s="368"/>
      <c r="B53" s="368"/>
      <c r="C53" s="368"/>
      <c r="D53" s="368"/>
      <c r="E53" s="368"/>
      <c r="F53" s="368"/>
      <c r="G53" s="368"/>
      <c r="H53" s="368"/>
      <c r="I53" s="368"/>
    </row>
    <row r="54" spans="1:9" ht="27" customHeight="1" x14ac:dyDescent="0.2">
      <c r="A54" s="330" t="s">
        <v>55</v>
      </c>
      <c r="B54" s="330"/>
      <c r="C54" s="330"/>
      <c r="D54" s="330"/>
      <c r="E54" s="330"/>
      <c r="F54" s="330"/>
      <c r="G54" s="330"/>
      <c r="H54" s="330"/>
      <c r="I54" s="330"/>
    </row>
    <row r="55" spans="1:9" ht="27" customHeight="1" x14ac:dyDescent="0.2">
      <c r="A55" s="369" t="s">
        <v>4</v>
      </c>
      <c r="B55" s="369"/>
      <c r="C55" s="369"/>
      <c r="D55" s="369"/>
      <c r="E55" s="369"/>
      <c r="F55" s="369"/>
      <c r="G55" s="369"/>
      <c r="H55" s="369"/>
      <c r="I55" s="369"/>
    </row>
    <row r="56" spans="1:9" ht="22.9" customHeight="1" x14ac:dyDescent="0.2">
      <c r="A56" s="22" t="s">
        <v>56</v>
      </c>
      <c r="B56" s="370" t="s">
        <v>5</v>
      </c>
      <c r="C56" s="370"/>
      <c r="D56" s="370"/>
      <c r="E56" s="370"/>
      <c r="F56" s="370"/>
      <c r="G56" s="370"/>
      <c r="H56" s="370"/>
      <c r="I56" s="23" t="s">
        <v>57</v>
      </c>
    </row>
    <row r="57" spans="1:9" ht="27.6" customHeight="1" x14ac:dyDescent="0.2">
      <c r="A57" s="22" t="s">
        <v>13</v>
      </c>
      <c r="B57" s="371" t="s">
        <v>6</v>
      </c>
      <c r="C57" s="371"/>
      <c r="D57" s="371"/>
      <c r="E57" s="371"/>
      <c r="F57" s="371"/>
      <c r="G57" s="371"/>
      <c r="H57" s="90">
        <v>8.3299999999999999E-2</v>
      </c>
      <c r="I57" s="91">
        <f>ROUND(I45*H57,2)</f>
        <v>505.51</v>
      </c>
    </row>
    <row r="58" spans="1:9" ht="111" customHeight="1" x14ac:dyDescent="0.2">
      <c r="A58" s="22" t="s">
        <v>15</v>
      </c>
      <c r="B58" s="372" t="s">
        <v>235</v>
      </c>
      <c r="C58" s="373"/>
      <c r="D58" s="373"/>
      <c r="E58" s="373"/>
      <c r="F58" s="373"/>
      <c r="G58" s="373"/>
      <c r="H58" s="95">
        <v>3.0249999999999999E-2</v>
      </c>
      <c r="I58" s="91">
        <f>ROUND(I45*H58,2)</f>
        <v>183.57</v>
      </c>
    </row>
    <row r="59" spans="1:9" ht="15.75" customHeight="1" x14ac:dyDescent="0.2">
      <c r="A59" s="365" t="s">
        <v>58</v>
      </c>
      <c r="B59" s="365"/>
      <c r="C59" s="365"/>
      <c r="D59" s="365"/>
      <c r="E59" s="365"/>
      <c r="F59" s="365"/>
      <c r="G59" s="365"/>
      <c r="H59" s="365"/>
      <c r="I59" s="36">
        <f>SUM(I57+I58)</f>
        <v>689.07999999999993</v>
      </c>
    </row>
    <row r="60" spans="1:9" ht="60" customHeight="1" x14ac:dyDescent="0.2">
      <c r="A60" s="352" t="s">
        <v>234</v>
      </c>
      <c r="B60" s="352"/>
      <c r="C60" s="352"/>
      <c r="D60" s="352"/>
      <c r="E60" s="352"/>
      <c r="F60" s="352"/>
      <c r="G60" s="352"/>
      <c r="H60" s="352"/>
      <c r="I60" s="352"/>
    </row>
    <row r="61" spans="1:9" ht="7.5" customHeight="1" x14ac:dyDescent="0.2">
      <c r="A61" s="366"/>
      <c r="B61" s="366"/>
      <c r="C61" s="366"/>
      <c r="D61" s="366"/>
      <c r="E61" s="366"/>
      <c r="F61" s="366"/>
      <c r="G61" s="366"/>
      <c r="H61" s="366"/>
      <c r="I61" s="366"/>
    </row>
    <row r="62" spans="1:9" s="26" customFormat="1" ht="32.25" customHeight="1" x14ac:dyDescent="0.2">
      <c r="A62" s="367" t="s">
        <v>161</v>
      </c>
      <c r="B62" s="367"/>
      <c r="C62" s="367"/>
      <c r="D62" s="367"/>
      <c r="E62" s="367"/>
      <c r="F62" s="367"/>
      <c r="G62" s="367"/>
      <c r="H62" s="367"/>
      <c r="I62" s="367"/>
    </row>
    <row r="63" spans="1:9" s="26" customFormat="1" ht="27" customHeight="1" x14ac:dyDescent="0.2">
      <c r="A63" s="27" t="s">
        <v>59</v>
      </c>
      <c r="B63" s="355" t="s">
        <v>60</v>
      </c>
      <c r="C63" s="355"/>
      <c r="D63" s="355"/>
      <c r="E63" s="355"/>
      <c r="F63" s="355"/>
      <c r="G63" s="355"/>
      <c r="H63" s="5" t="s">
        <v>47</v>
      </c>
      <c r="I63" s="13" t="s">
        <v>61</v>
      </c>
    </row>
    <row r="64" spans="1:9" s="26" customFormat="1" ht="19.149999999999999" customHeight="1" x14ac:dyDescent="0.2">
      <c r="A64" s="29" t="s">
        <v>13</v>
      </c>
      <c r="B64" s="317" t="s">
        <v>62</v>
      </c>
      <c r="C64" s="317"/>
      <c r="D64" s="317"/>
      <c r="E64" s="317"/>
      <c r="F64" s="317"/>
      <c r="G64" s="317"/>
      <c r="H64" s="30">
        <v>0.2</v>
      </c>
      <c r="I64" s="31">
        <f>ROUND(($I$45+$I$59+$I$48)*H64,2)</f>
        <v>1391.96</v>
      </c>
    </row>
    <row r="65" spans="1:9" s="26" customFormat="1" ht="19.149999999999999" customHeight="1" x14ac:dyDescent="0.2">
      <c r="A65" s="29" t="s">
        <v>15</v>
      </c>
      <c r="B65" s="317" t="s">
        <v>63</v>
      </c>
      <c r="C65" s="317"/>
      <c r="D65" s="317"/>
      <c r="E65" s="317"/>
      <c r="F65" s="317"/>
      <c r="G65" s="317"/>
      <c r="H65" s="32">
        <v>2.5000000000000001E-2</v>
      </c>
      <c r="I65" s="31">
        <f t="shared" ref="I65:I71" si="0">ROUND(($I$45+$I$59+$I$48)*H65,2)</f>
        <v>174</v>
      </c>
    </row>
    <row r="66" spans="1:9" s="26" customFormat="1" ht="56.65" customHeight="1" x14ac:dyDescent="0.2">
      <c r="A66" s="29" t="s">
        <v>17</v>
      </c>
      <c r="B66" s="364" t="s">
        <v>155</v>
      </c>
      <c r="C66" s="364"/>
      <c r="D66" s="33" t="s">
        <v>64</v>
      </c>
      <c r="E66" s="236">
        <v>0.03</v>
      </c>
      <c r="F66" s="33" t="s">
        <v>65</v>
      </c>
      <c r="G66" s="237">
        <v>1</v>
      </c>
      <c r="H66" s="34">
        <f>ROUND((E66*G66),6)</f>
        <v>0.03</v>
      </c>
      <c r="I66" s="31">
        <f t="shared" si="0"/>
        <v>208.79</v>
      </c>
    </row>
    <row r="67" spans="1:9" s="26" customFormat="1" ht="15.75" customHeight="1" x14ac:dyDescent="0.2">
      <c r="A67" s="29" t="s">
        <v>19</v>
      </c>
      <c r="B67" s="317" t="s">
        <v>66</v>
      </c>
      <c r="C67" s="317"/>
      <c r="D67" s="317"/>
      <c r="E67" s="317"/>
      <c r="F67" s="317"/>
      <c r="G67" s="317"/>
      <c r="H67" s="30">
        <v>1.4999999999999999E-2</v>
      </c>
      <c r="I67" s="31">
        <f t="shared" si="0"/>
        <v>104.4</v>
      </c>
    </row>
    <row r="68" spans="1:9" s="26" customFormat="1" ht="15.75" customHeight="1" x14ac:dyDescent="0.2">
      <c r="A68" s="29" t="s">
        <v>49</v>
      </c>
      <c r="B68" s="317" t="s">
        <v>67</v>
      </c>
      <c r="C68" s="317"/>
      <c r="D68" s="317"/>
      <c r="E68" s="317"/>
      <c r="F68" s="317"/>
      <c r="G68" s="317"/>
      <c r="H68" s="30">
        <v>0.01</v>
      </c>
      <c r="I68" s="31">
        <f t="shared" si="0"/>
        <v>69.599999999999994</v>
      </c>
    </row>
    <row r="69" spans="1:9" s="26" customFormat="1" ht="15.75" customHeight="1" x14ac:dyDescent="0.2">
      <c r="A69" s="29" t="s">
        <v>50</v>
      </c>
      <c r="B69" s="329" t="s">
        <v>68</v>
      </c>
      <c r="C69" s="329"/>
      <c r="D69" s="329"/>
      <c r="E69" s="329"/>
      <c r="F69" s="329"/>
      <c r="G69" s="329"/>
      <c r="H69" s="32">
        <v>6.0000000000000001E-3</v>
      </c>
      <c r="I69" s="31">
        <f t="shared" si="0"/>
        <v>41.76</v>
      </c>
    </row>
    <row r="70" spans="1:9" s="26" customFormat="1" ht="15.75" customHeight="1" x14ac:dyDescent="0.2">
      <c r="A70" s="29" t="s">
        <v>51</v>
      </c>
      <c r="B70" s="317" t="s">
        <v>69</v>
      </c>
      <c r="C70" s="317"/>
      <c r="D70" s="317"/>
      <c r="E70" s="317"/>
      <c r="F70" s="317"/>
      <c r="G70" s="317"/>
      <c r="H70" s="30">
        <v>2E-3</v>
      </c>
      <c r="I70" s="31">
        <f t="shared" si="0"/>
        <v>13.92</v>
      </c>
    </row>
    <row r="71" spans="1:9" ht="15.75" customHeight="1" x14ac:dyDescent="0.2">
      <c r="A71" s="29" t="s">
        <v>53</v>
      </c>
      <c r="B71" s="329" t="s">
        <v>70</v>
      </c>
      <c r="C71" s="329"/>
      <c r="D71" s="329"/>
      <c r="E71" s="329"/>
      <c r="F71" s="329"/>
      <c r="G71" s="329"/>
      <c r="H71" s="32">
        <v>0.08</v>
      </c>
      <c r="I71" s="31">
        <f t="shared" si="0"/>
        <v>556.78</v>
      </c>
    </row>
    <row r="72" spans="1:9" ht="15.75" customHeight="1" x14ac:dyDescent="0.2">
      <c r="A72" s="308" t="s">
        <v>58</v>
      </c>
      <c r="B72" s="308"/>
      <c r="C72" s="308"/>
      <c r="D72" s="308"/>
      <c r="E72" s="308"/>
      <c r="F72" s="308"/>
      <c r="G72" s="308"/>
      <c r="H72" s="35">
        <f>SUM(H64:H71)</f>
        <v>0.36800000000000005</v>
      </c>
      <c r="I72" s="36">
        <f>SUM(I64:I71)</f>
        <v>2561.21</v>
      </c>
    </row>
    <row r="73" spans="1:9" ht="8.65" customHeight="1" x14ac:dyDescent="0.2">
      <c r="A73" s="37"/>
      <c r="B73" s="38"/>
      <c r="C73" s="38"/>
      <c r="D73" s="38"/>
      <c r="E73" s="38"/>
      <c r="F73" s="38"/>
      <c r="G73" s="38"/>
      <c r="H73" s="39"/>
      <c r="I73" s="40"/>
    </row>
    <row r="74" spans="1:9" ht="35.25" customHeight="1" x14ac:dyDescent="0.2">
      <c r="A74" s="361" t="s">
        <v>71</v>
      </c>
      <c r="B74" s="361"/>
      <c r="C74" s="361"/>
      <c r="D74" s="361"/>
      <c r="E74" s="361"/>
      <c r="F74" s="361"/>
      <c r="G74" s="361"/>
      <c r="H74" s="361"/>
      <c r="I74" s="361"/>
    </row>
    <row r="75" spans="1:9" ht="9.75" customHeight="1" x14ac:dyDescent="0.2">
      <c r="A75" s="360"/>
      <c r="B75" s="360"/>
      <c r="C75" s="360"/>
      <c r="D75" s="360"/>
      <c r="E75" s="360"/>
      <c r="F75" s="360"/>
      <c r="G75" s="360"/>
      <c r="H75" s="360"/>
      <c r="I75" s="360"/>
    </row>
    <row r="76" spans="1:9" ht="20.65" customHeight="1" x14ac:dyDescent="0.2">
      <c r="A76" s="335" t="s">
        <v>72</v>
      </c>
      <c r="B76" s="335"/>
      <c r="C76" s="335"/>
      <c r="D76" s="335"/>
      <c r="E76" s="335"/>
      <c r="F76" s="335"/>
      <c r="G76" s="335"/>
      <c r="H76" s="335"/>
      <c r="I76" s="335"/>
    </row>
    <row r="77" spans="1:9" ht="27" customHeight="1" x14ac:dyDescent="0.2">
      <c r="A77" s="41" t="s">
        <v>73</v>
      </c>
      <c r="B77" s="327" t="s">
        <v>74</v>
      </c>
      <c r="C77" s="327"/>
      <c r="D77" s="327"/>
      <c r="E77" s="327"/>
      <c r="F77" s="327"/>
      <c r="G77" s="327"/>
      <c r="H77" s="327"/>
      <c r="I77" s="13" t="s">
        <v>57</v>
      </c>
    </row>
    <row r="78" spans="1:9" ht="23.65" customHeight="1" x14ac:dyDescent="0.2">
      <c r="A78" s="42" t="s">
        <v>13</v>
      </c>
      <c r="B78" s="345" t="s">
        <v>75</v>
      </c>
      <c r="C78" s="345"/>
      <c r="D78" s="345"/>
      <c r="E78" s="345"/>
      <c r="F78" s="345"/>
      <c r="G78" s="345"/>
      <c r="H78" s="345"/>
      <c r="I78" s="43">
        <f>IF(ROUND((H79*H81*H80)-(I38*H82),2)&lt;0,0,ROUND((H79*H81*H80)-(I38*H82),2))</f>
        <v>59.66</v>
      </c>
    </row>
    <row r="79" spans="1:9" ht="27.6" customHeight="1" x14ac:dyDescent="0.2">
      <c r="A79" s="42"/>
      <c r="B79" s="345" t="s">
        <v>461</v>
      </c>
      <c r="C79" s="345"/>
      <c r="D79" s="345"/>
      <c r="E79" s="345"/>
      <c r="F79" s="345"/>
      <c r="G79" s="345"/>
      <c r="H79" s="238">
        <v>4.95</v>
      </c>
      <c r="I79" s="44" t="s">
        <v>24</v>
      </c>
    </row>
    <row r="80" spans="1:9" ht="20.100000000000001" customHeight="1" x14ac:dyDescent="0.2">
      <c r="A80" s="42"/>
      <c r="B80" s="329" t="s">
        <v>76</v>
      </c>
      <c r="C80" s="329"/>
      <c r="D80" s="329"/>
      <c r="E80" s="329"/>
      <c r="F80" s="329"/>
      <c r="G80" s="329"/>
      <c r="H80" s="45">
        <v>2</v>
      </c>
      <c r="I80" s="44" t="s">
        <v>24</v>
      </c>
    </row>
    <row r="81" spans="1:9" ht="20.100000000000001" customHeight="1" x14ac:dyDescent="0.2">
      <c r="A81" s="42"/>
      <c r="B81" s="363" t="s">
        <v>77</v>
      </c>
      <c r="C81" s="363"/>
      <c r="D81" s="363"/>
      <c r="E81" s="363"/>
      <c r="F81" s="363"/>
      <c r="G81" s="363"/>
      <c r="H81" s="46">
        <v>30</v>
      </c>
      <c r="I81" s="44"/>
    </row>
    <row r="82" spans="1:9" ht="26.1" customHeight="1" x14ac:dyDescent="0.2">
      <c r="A82" s="42"/>
      <c r="B82" s="363" t="s">
        <v>455</v>
      </c>
      <c r="C82" s="363"/>
      <c r="D82" s="363"/>
      <c r="E82" s="363"/>
      <c r="F82" s="363"/>
      <c r="G82" s="363"/>
      <c r="H82" s="47">
        <v>0.06</v>
      </c>
      <c r="I82" s="44"/>
    </row>
    <row r="83" spans="1:9" ht="14.65" customHeight="1" x14ac:dyDescent="0.2">
      <c r="A83" s="42" t="s">
        <v>15</v>
      </c>
      <c r="B83" s="345" t="s">
        <v>78</v>
      </c>
      <c r="C83" s="345"/>
      <c r="D83" s="345"/>
      <c r="E83" s="345"/>
      <c r="F83" s="345"/>
      <c r="G83" s="345"/>
      <c r="H83" s="345"/>
      <c r="I83" s="48">
        <f>ROUND(H85*H84*(1-H86),2)*1+ROUND(21.726*6*(1-H86),2)*0</f>
        <v>648</v>
      </c>
    </row>
    <row r="84" spans="1:9" ht="15.75" customHeight="1" x14ac:dyDescent="0.2">
      <c r="A84" s="42"/>
      <c r="B84" s="345" t="s">
        <v>454</v>
      </c>
      <c r="C84" s="345"/>
      <c r="D84" s="345"/>
      <c r="E84" s="345"/>
      <c r="F84" s="345"/>
      <c r="G84" s="345"/>
      <c r="H84" s="238">
        <v>27</v>
      </c>
      <c r="I84" s="44" t="s">
        <v>24</v>
      </c>
    </row>
    <row r="85" spans="1:9" ht="15.75" customHeight="1" x14ac:dyDescent="0.2">
      <c r="A85" s="42"/>
      <c r="B85" s="345" t="s">
        <v>79</v>
      </c>
      <c r="C85" s="345"/>
      <c r="D85" s="345"/>
      <c r="E85" s="345"/>
      <c r="F85" s="345"/>
      <c r="G85" s="345"/>
      <c r="H85" s="46">
        <v>30</v>
      </c>
      <c r="I85" s="44"/>
    </row>
    <row r="86" spans="1:9" ht="22.5" customHeight="1" x14ac:dyDescent="0.2">
      <c r="A86" s="42"/>
      <c r="B86" s="363" t="s">
        <v>453</v>
      </c>
      <c r="C86" s="363"/>
      <c r="D86" s="363"/>
      <c r="E86" s="363"/>
      <c r="F86" s="363"/>
      <c r="G86" s="363"/>
      <c r="H86" s="47">
        <v>0.2</v>
      </c>
      <c r="I86" s="44"/>
    </row>
    <row r="87" spans="1:9" ht="15.75" customHeight="1" x14ac:dyDescent="0.2">
      <c r="A87" s="42" t="s">
        <v>17</v>
      </c>
      <c r="B87" s="345" t="s">
        <v>80</v>
      </c>
      <c r="C87" s="345"/>
      <c r="D87" s="345"/>
      <c r="E87" s="345"/>
      <c r="F87" s="345"/>
      <c r="G87" s="345"/>
      <c r="H87" s="345"/>
      <c r="I87" s="239">
        <v>0</v>
      </c>
    </row>
    <row r="88" spans="1:9" ht="34.5" customHeight="1" x14ac:dyDescent="0.2">
      <c r="A88" s="42" t="s">
        <v>19</v>
      </c>
      <c r="B88" s="345" t="s">
        <v>456</v>
      </c>
      <c r="C88" s="345"/>
      <c r="D88" s="345"/>
      <c r="E88" s="345"/>
      <c r="F88" s="345"/>
      <c r="G88" s="345"/>
      <c r="H88" s="345"/>
      <c r="I88" s="239">
        <f>ROUND(I45*26*0.00023,2)</f>
        <v>36.29</v>
      </c>
    </row>
    <row r="89" spans="1:9" s="26" customFormat="1" ht="31.5" customHeight="1" x14ac:dyDescent="0.2">
      <c r="A89" s="42" t="s">
        <v>49</v>
      </c>
      <c r="B89" s="329" t="s">
        <v>457</v>
      </c>
      <c r="C89" s="329"/>
      <c r="D89" s="329"/>
      <c r="E89" s="329"/>
      <c r="F89" s="329"/>
      <c r="G89" s="329"/>
      <c r="H89" s="329"/>
      <c r="I89" s="239">
        <f>ROUND(($I$38*0.0052066)/12,2)</f>
        <v>1.72</v>
      </c>
    </row>
    <row r="90" spans="1:9" s="26" customFormat="1" ht="15.75" customHeight="1" x14ac:dyDescent="0.2">
      <c r="A90" s="42" t="s">
        <v>50</v>
      </c>
      <c r="B90" s="358" t="s">
        <v>81</v>
      </c>
      <c r="C90" s="358"/>
      <c r="D90" s="358"/>
      <c r="E90" s="358"/>
      <c r="F90" s="358"/>
      <c r="G90" s="358"/>
      <c r="H90" s="358"/>
      <c r="I90" s="242">
        <v>0</v>
      </c>
    </row>
    <row r="91" spans="1:9" s="26" customFormat="1" ht="18.399999999999999" customHeight="1" x14ac:dyDescent="0.2">
      <c r="A91" s="50"/>
      <c r="B91" s="359" t="s">
        <v>58</v>
      </c>
      <c r="C91" s="359"/>
      <c r="D91" s="359"/>
      <c r="E91" s="359"/>
      <c r="F91" s="359"/>
      <c r="G91" s="359"/>
      <c r="H91" s="359"/>
      <c r="I91" s="36">
        <f>SUM(I78:I90)</f>
        <v>745.67</v>
      </c>
    </row>
    <row r="92" spans="1:9" s="26" customFormat="1" ht="9.4" customHeight="1" x14ac:dyDescent="0.2">
      <c r="A92" s="360"/>
      <c r="B92" s="360"/>
      <c r="C92" s="360"/>
      <c r="D92" s="360"/>
      <c r="E92" s="360"/>
      <c r="F92" s="360"/>
      <c r="G92" s="360"/>
      <c r="H92" s="360"/>
      <c r="I92" s="360"/>
    </row>
    <row r="93" spans="1:9" s="26" customFormat="1" ht="32.65" customHeight="1" x14ac:dyDescent="0.2">
      <c r="A93" s="361" t="s">
        <v>82</v>
      </c>
      <c r="B93" s="361"/>
      <c r="C93" s="361"/>
      <c r="D93" s="361"/>
      <c r="E93" s="361"/>
      <c r="F93" s="361"/>
      <c r="G93" s="361"/>
      <c r="H93" s="361"/>
      <c r="I93" s="361"/>
    </row>
    <row r="94" spans="1:9" s="26" customFormat="1" ht="8.65" customHeight="1" x14ac:dyDescent="0.2">
      <c r="A94" s="362"/>
      <c r="B94" s="362"/>
      <c r="C94" s="362"/>
      <c r="D94" s="362"/>
      <c r="E94" s="362"/>
      <c r="F94" s="362"/>
      <c r="G94" s="362"/>
      <c r="H94" s="362"/>
      <c r="I94" s="362"/>
    </row>
    <row r="95" spans="1:9" s="26" customFormat="1" ht="17.25" customHeight="1" x14ac:dyDescent="0.2">
      <c r="A95" s="354" t="s">
        <v>83</v>
      </c>
      <c r="B95" s="354"/>
      <c r="C95" s="354"/>
      <c r="D95" s="354"/>
      <c r="E95" s="354"/>
      <c r="F95" s="354"/>
      <c r="G95" s="354"/>
      <c r="H95" s="354"/>
      <c r="I95" s="354"/>
    </row>
    <row r="96" spans="1:9" s="26" customFormat="1" ht="16.149999999999999" customHeight="1" x14ac:dyDescent="0.2">
      <c r="A96" s="28">
        <v>2</v>
      </c>
      <c r="B96" s="355" t="s">
        <v>84</v>
      </c>
      <c r="C96" s="355"/>
      <c r="D96" s="355"/>
      <c r="E96" s="355"/>
      <c r="F96" s="355"/>
      <c r="G96" s="355"/>
      <c r="H96" s="355"/>
      <c r="I96" s="28" t="s">
        <v>57</v>
      </c>
    </row>
    <row r="97" spans="1:9" s="26" customFormat="1" ht="14.85" customHeight="1" x14ac:dyDescent="0.2">
      <c r="A97" s="51" t="s">
        <v>56</v>
      </c>
      <c r="B97" s="356" t="s">
        <v>7</v>
      </c>
      <c r="C97" s="356"/>
      <c r="D97" s="356"/>
      <c r="E97" s="356"/>
      <c r="F97" s="356"/>
      <c r="G97" s="356"/>
      <c r="H97" s="356"/>
      <c r="I97" s="52">
        <f>I59</f>
        <v>689.07999999999993</v>
      </c>
    </row>
    <row r="98" spans="1:9" s="26" customFormat="1" ht="14.65" customHeight="1" x14ac:dyDescent="0.2">
      <c r="A98" s="51" t="s">
        <v>59</v>
      </c>
      <c r="B98" s="356" t="s">
        <v>60</v>
      </c>
      <c r="C98" s="356"/>
      <c r="D98" s="356"/>
      <c r="E98" s="356"/>
      <c r="F98" s="356"/>
      <c r="G98" s="356"/>
      <c r="H98" s="356"/>
      <c r="I98" s="52">
        <f>I72</f>
        <v>2561.21</v>
      </c>
    </row>
    <row r="99" spans="1:9" s="26" customFormat="1" ht="14.65" customHeight="1" x14ac:dyDescent="0.2">
      <c r="A99" s="51" t="s">
        <v>73</v>
      </c>
      <c r="B99" s="356" t="s">
        <v>74</v>
      </c>
      <c r="C99" s="356"/>
      <c r="D99" s="356"/>
      <c r="E99" s="356"/>
      <c r="F99" s="356"/>
      <c r="G99" s="356"/>
      <c r="H99" s="356"/>
      <c r="I99" s="52">
        <f>I91</f>
        <v>745.67</v>
      </c>
    </row>
    <row r="100" spans="1:9" s="26" customFormat="1" ht="14.65" customHeight="1" x14ac:dyDescent="0.2">
      <c r="A100" s="357" t="s">
        <v>58</v>
      </c>
      <c r="B100" s="357"/>
      <c r="C100" s="357"/>
      <c r="D100" s="357"/>
      <c r="E100" s="357"/>
      <c r="F100" s="357"/>
      <c r="G100" s="357"/>
      <c r="H100" s="357"/>
      <c r="I100" s="53">
        <f>SUM(I97+I98+I99)</f>
        <v>3995.96</v>
      </c>
    </row>
    <row r="101" spans="1:9" s="26" customFormat="1" ht="8.65" customHeight="1" x14ac:dyDescent="0.2">
      <c r="A101" s="353"/>
      <c r="B101" s="353"/>
      <c r="C101" s="353"/>
      <c r="D101" s="353"/>
      <c r="E101" s="353"/>
      <c r="F101" s="353"/>
      <c r="G101" s="353"/>
      <c r="H101" s="353"/>
      <c r="I101" s="353"/>
    </row>
    <row r="102" spans="1:9" s="26" customFormat="1" ht="20.65" customHeight="1" x14ac:dyDescent="0.2">
      <c r="A102" s="324" t="s">
        <v>85</v>
      </c>
      <c r="B102" s="324"/>
      <c r="C102" s="324"/>
      <c r="D102" s="324"/>
      <c r="E102" s="324"/>
      <c r="F102" s="324"/>
      <c r="G102" s="324"/>
      <c r="H102" s="324"/>
      <c r="I102" s="324"/>
    </row>
    <row r="103" spans="1:9" s="26" customFormat="1" ht="15" x14ac:dyDescent="0.2">
      <c r="A103" s="41">
        <v>3</v>
      </c>
      <c r="B103" s="325" t="s">
        <v>86</v>
      </c>
      <c r="C103" s="325"/>
      <c r="D103" s="325"/>
      <c r="E103" s="325"/>
      <c r="F103" s="325"/>
      <c r="G103" s="325"/>
      <c r="H103" s="325"/>
      <c r="I103" s="41" t="s">
        <v>57</v>
      </c>
    </row>
    <row r="104" spans="1:9" s="26" customFormat="1" ht="70.150000000000006" customHeight="1" x14ac:dyDescent="0.2">
      <c r="A104" s="42" t="s">
        <v>13</v>
      </c>
      <c r="B104" s="315" t="s">
        <v>232</v>
      </c>
      <c r="C104" s="315"/>
      <c r="D104" s="315"/>
      <c r="E104" s="315"/>
      <c r="F104" s="315"/>
      <c r="G104" s="315"/>
      <c r="H104" s="315"/>
      <c r="I104" s="239">
        <f>ROUND(((I45/12)+($I$57/12)+(I45*0.121/12))*(30/30)*5%,2)</f>
        <v>30.45</v>
      </c>
    </row>
    <row r="105" spans="1:9" s="26" customFormat="1" ht="14.65" customHeight="1" x14ac:dyDescent="0.2">
      <c r="A105" s="42" t="s">
        <v>15</v>
      </c>
      <c r="B105" s="351" t="s">
        <v>87</v>
      </c>
      <c r="C105" s="351"/>
      <c r="D105" s="351"/>
      <c r="E105" s="351"/>
      <c r="F105" s="351"/>
      <c r="G105" s="351"/>
      <c r="H105" s="351"/>
      <c r="I105" s="31">
        <f>ROUND($H$71*I104,2)</f>
        <v>2.44</v>
      </c>
    </row>
    <row r="106" spans="1:9" s="26" customFormat="1" ht="110.1" customHeight="1" x14ac:dyDescent="0.2">
      <c r="A106" s="42" t="s">
        <v>17</v>
      </c>
      <c r="B106" s="317" t="s">
        <v>233</v>
      </c>
      <c r="C106" s="317"/>
      <c r="D106" s="317"/>
      <c r="E106" s="317"/>
      <c r="F106" s="317"/>
      <c r="G106" s="317"/>
      <c r="H106" s="317"/>
      <c r="I106" s="239">
        <f>ROUND(($I$45*(7/30)/12*(30/30))*100%,2)</f>
        <v>118</v>
      </c>
    </row>
    <row r="107" spans="1:9" s="26" customFormat="1" ht="20.100000000000001" customHeight="1" x14ac:dyDescent="0.2">
      <c r="A107" s="42" t="s">
        <v>19</v>
      </c>
      <c r="B107" s="351" t="s">
        <v>88</v>
      </c>
      <c r="C107" s="351"/>
      <c r="D107" s="351"/>
      <c r="E107" s="351"/>
      <c r="F107" s="351"/>
      <c r="G107" s="351"/>
      <c r="H107" s="351"/>
      <c r="I107" s="31">
        <f>ROUND($H$72*I106,2)</f>
        <v>43.42</v>
      </c>
    </row>
    <row r="108" spans="1:9" s="26" customFormat="1" ht="36.75" customHeight="1" x14ac:dyDescent="0.2">
      <c r="A108" s="42" t="s">
        <v>49</v>
      </c>
      <c r="B108" s="317" t="s">
        <v>8</v>
      </c>
      <c r="C108" s="317"/>
      <c r="D108" s="317"/>
      <c r="E108" s="317"/>
      <c r="F108" s="317"/>
      <c r="G108" s="317"/>
      <c r="H108" s="94">
        <v>0.04</v>
      </c>
      <c r="I108" s="31">
        <f>ROUND(I45*H108,2)</f>
        <v>242.74</v>
      </c>
    </row>
    <row r="109" spans="1:9" s="26" customFormat="1" ht="15.75" customHeight="1" x14ac:dyDescent="0.2">
      <c r="A109" s="308" t="s">
        <v>89</v>
      </c>
      <c r="B109" s="308"/>
      <c r="C109" s="308"/>
      <c r="D109" s="308"/>
      <c r="E109" s="308"/>
      <c r="F109" s="308"/>
      <c r="G109" s="308"/>
      <c r="H109" s="308"/>
      <c r="I109" s="36">
        <f>SUM(I104:I108)</f>
        <v>437.05</v>
      </c>
    </row>
    <row r="110" spans="1:9" s="26" customFormat="1" ht="9.4" customHeight="1" x14ac:dyDescent="0.2">
      <c r="A110" s="305"/>
      <c r="B110" s="305"/>
      <c r="C110" s="305"/>
      <c r="D110" s="305"/>
      <c r="E110" s="305"/>
      <c r="F110" s="305"/>
      <c r="G110" s="305"/>
      <c r="H110" s="305"/>
      <c r="I110" s="305"/>
    </row>
    <row r="111" spans="1:9" ht="24" customHeight="1" x14ac:dyDescent="0.2">
      <c r="A111" s="326" t="s">
        <v>90</v>
      </c>
      <c r="B111" s="326"/>
      <c r="C111" s="326"/>
      <c r="D111" s="326"/>
      <c r="E111" s="326"/>
      <c r="F111" s="326"/>
      <c r="G111" s="326"/>
      <c r="H111" s="326"/>
      <c r="I111" s="326"/>
    </row>
    <row r="112" spans="1:9" ht="24.75" customHeight="1" x14ac:dyDescent="0.2">
      <c r="A112" s="352" t="s">
        <v>91</v>
      </c>
      <c r="B112" s="352"/>
      <c r="C112" s="352"/>
      <c r="D112" s="352"/>
      <c r="E112" s="352"/>
      <c r="F112" s="352"/>
      <c r="G112" s="352"/>
      <c r="H112" s="352"/>
      <c r="I112" s="352"/>
    </row>
    <row r="113" spans="1:11" ht="56.1" customHeight="1" x14ac:dyDescent="0.2">
      <c r="A113" s="347" t="s">
        <v>162</v>
      </c>
      <c r="B113" s="347"/>
      <c r="C113" s="347"/>
      <c r="D113" s="347"/>
      <c r="E113" s="347"/>
      <c r="F113" s="347"/>
      <c r="G113" s="347"/>
      <c r="H113" s="347"/>
      <c r="I113" s="347"/>
    </row>
    <row r="114" spans="1:11" ht="7.5" customHeight="1" x14ac:dyDescent="0.2">
      <c r="A114" s="348"/>
      <c r="B114" s="348"/>
      <c r="C114" s="348"/>
      <c r="D114" s="348"/>
      <c r="E114" s="348"/>
      <c r="F114" s="348"/>
      <c r="G114" s="348"/>
      <c r="H114" s="348"/>
      <c r="I114" s="348"/>
    </row>
    <row r="115" spans="1:11" ht="59.1" customHeight="1" x14ac:dyDescent="0.2">
      <c r="A115" s="54" t="s">
        <v>92</v>
      </c>
      <c r="B115" s="55">
        <f>I45</f>
        <v>6068.52</v>
      </c>
      <c r="C115" s="92"/>
      <c r="D115" s="54" t="s">
        <v>154</v>
      </c>
      <c r="E115" s="55">
        <f>I100-I78-I83 +I119</f>
        <v>4041.6849600000005</v>
      </c>
      <c r="F115" s="93"/>
      <c r="G115" s="54" t="s">
        <v>93</v>
      </c>
      <c r="H115" s="55">
        <f>I109</f>
        <v>437.05</v>
      </c>
      <c r="I115" s="56">
        <f>B115+E115+H115</f>
        <v>10547.25496</v>
      </c>
      <c r="J115" s="19"/>
    </row>
    <row r="116" spans="1:11" ht="7.5" customHeight="1" x14ac:dyDescent="0.2">
      <c r="A116" s="349"/>
      <c r="B116" s="349"/>
      <c r="C116" s="349"/>
      <c r="D116" s="349"/>
      <c r="E116" s="349"/>
      <c r="F116" s="349"/>
      <c r="G116" s="349"/>
      <c r="H116" s="349"/>
      <c r="I116" s="349"/>
    </row>
    <row r="117" spans="1:11" ht="24" customHeight="1" x14ac:dyDescent="0.2">
      <c r="A117" s="350" t="s">
        <v>9</v>
      </c>
      <c r="B117" s="350"/>
      <c r="C117" s="350"/>
      <c r="D117" s="350"/>
      <c r="E117" s="350"/>
      <c r="F117" s="350"/>
      <c r="G117" s="350"/>
      <c r="H117" s="350"/>
      <c r="I117" s="350"/>
    </row>
    <row r="118" spans="1:11" ht="24" customHeight="1" x14ac:dyDescent="0.25">
      <c r="A118" s="57" t="s">
        <v>94</v>
      </c>
      <c r="B118" s="325" t="s">
        <v>95</v>
      </c>
      <c r="C118" s="325"/>
      <c r="D118" s="325"/>
      <c r="E118" s="325"/>
      <c r="F118" s="325"/>
      <c r="G118" s="325"/>
      <c r="H118" s="325"/>
      <c r="I118" s="57" t="s">
        <v>57</v>
      </c>
    </row>
    <row r="119" spans="1:11" ht="64.150000000000006" customHeight="1" x14ac:dyDescent="0.2">
      <c r="A119" s="89" t="s">
        <v>13</v>
      </c>
      <c r="B119" s="279" t="s">
        <v>152</v>
      </c>
      <c r="C119" s="280"/>
      <c r="D119" s="280"/>
      <c r="E119" s="280"/>
      <c r="F119" s="280"/>
      <c r="G119" s="97">
        <v>9.0749999999999997E-2</v>
      </c>
      <c r="H119" s="96">
        <f>H72</f>
        <v>0.36800000000000005</v>
      </c>
      <c r="I119" s="31">
        <f>ROUND(G119*I45,2)*(1+H119)</f>
        <v>753.38496000000009</v>
      </c>
      <c r="J119" s="19"/>
    </row>
    <row r="120" spans="1:11" ht="30" customHeight="1" x14ac:dyDescent="0.2">
      <c r="A120" s="42" t="s">
        <v>15</v>
      </c>
      <c r="B120" s="338" t="s">
        <v>158</v>
      </c>
      <c r="C120" s="338"/>
      <c r="D120" s="338"/>
      <c r="E120" s="338"/>
      <c r="F120" s="338"/>
      <c r="G120" s="338"/>
      <c r="H120" s="338"/>
      <c r="I120" s="31">
        <f>ROUND((1/30)/12*(I115),2)</f>
        <v>29.3</v>
      </c>
      <c r="K120" s="19"/>
    </row>
    <row r="121" spans="1:11" ht="32.1" customHeight="1" x14ac:dyDescent="0.2">
      <c r="A121" s="42" t="s">
        <v>17</v>
      </c>
      <c r="B121" s="338" t="s">
        <v>156</v>
      </c>
      <c r="C121" s="338"/>
      <c r="D121" s="338"/>
      <c r="E121" s="338"/>
      <c r="F121" s="338"/>
      <c r="G121" s="338"/>
      <c r="H121" s="338"/>
      <c r="I121" s="31">
        <f>ROUND((5/30)/12*0.015*(I115),2)</f>
        <v>2.2000000000000002</v>
      </c>
    </row>
    <row r="122" spans="1:11" ht="31.15" customHeight="1" x14ac:dyDescent="0.2">
      <c r="A122" s="42" t="s">
        <v>19</v>
      </c>
      <c r="B122" s="339" t="s">
        <v>160</v>
      </c>
      <c r="C122" s="340"/>
      <c r="D122" s="340"/>
      <c r="E122" s="340"/>
      <c r="F122" s="340"/>
      <c r="G122" s="340"/>
      <c r="H122" s="341"/>
      <c r="I122" s="31">
        <f>ROUND(((($I$115)/30)*0.69)/12,2)</f>
        <v>20.22</v>
      </c>
    </row>
    <row r="123" spans="1:11" ht="78" customHeight="1" x14ac:dyDescent="0.2">
      <c r="A123" s="98" t="s">
        <v>49</v>
      </c>
      <c r="B123" s="342" t="s">
        <v>157</v>
      </c>
      <c r="C123" s="343"/>
      <c r="D123" s="343"/>
      <c r="E123" s="343"/>
      <c r="F123" s="343"/>
      <c r="G123" s="343"/>
      <c r="H123" s="344"/>
      <c r="I123" s="43">
        <f>ROUND((((B115*0.121)+(H72)*(B115*0.121))*(4/12))*0.02,2)+ROUND(((H71*B115 + H72*I57+I91-I78-I83+I109)*4/12)*0.02,2)</f>
        <v>14.34</v>
      </c>
    </row>
    <row r="124" spans="1:11" ht="39" customHeight="1" x14ac:dyDescent="0.2">
      <c r="A124" s="42" t="s">
        <v>50</v>
      </c>
      <c r="B124" s="345" t="s">
        <v>159</v>
      </c>
      <c r="C124" s="302"/>
      <c r="D124" s="302"/>
      <c r="E124" s="302"/>
      <c r="F124" s="302"/>
      <c r="G124" s="302"/>
      <c r="H124" s="346"/>
      <c r="I124" s="31">
        <f>ROUND(((3/30)/12)*(I115),2)</f>
        <v>87.89</v>
      </c>
    </row>
    <row r="125" spans="1:11" ht="15.75" customHeight="1" x14ac:dyDescent="0.2">
      <c r="A125" s="308" t="s">
        <v>58</v>
      </c>
      <c r="B125" s="308"/>
      <c r="C125" s="308"/>
      <c r="D125" s="308"/>
      <c r="E125" s="308"/>
      <c r="F125" s="308"/>
      <c r="G125" s="308"/>
      <c r="H125" s="308"/>
      <c r="I125" s="36">
        <f>SUM(I119:I124)</f>
        <v>907.33496000000014</v>
      </c>
    </row>
    <row r="126" spans="1:11" ht="9.4" customHeight="1" x14ac:dyDescent="0.2">
      <c r="A126" s="334"/>
      <c r="B126" s="334"/>
      <c r="C126" s="334"/>
      <c r="D126" s="334"/>
      <c r="E126" s="334"/>
      <c r="F126" s="334"/>
      <c r="G126" s="334"/>
      <c r="H126" s="334"/>
      <c r="I126" s="334"/>
    </row>
    <row r="127" spans="1:11" ht="15.75" customHeight="1" x14ac:dyDescent="0.2">
      <c r="A127" s="335" t="s">
        <v>96</v>
      </c>
      <c r="B127" s="335"/>
      <c r="C127" s="335"/>
      <c r="D127" s="335"/>
      <c r="E127" s="335"/>
      <c r="F127" s="335"/>
      <c r="G127" s="335"/>
      <c r="H127" s="335"/>
      <c r="I127" s="335"/>
    </row>
    <row r="128" spans="1:11" ht="15.75" customHeight="1" x14ac:dyDescent="0.2">
      <c r="A128" s="58" t="s">
        <v>97</v>
      </c>
      <c r="B128" s="331" t="s">
        <v>98</v>
      </c>
      <c r="C128" s="331"/>
      <c r="D128" s="331"/>
      <c r="E128" s="331"/>
      <c r="F128" s="331"/>
      <c r="G128" s="331"/>
      <c r="H128" s="331"/>
      <c r="I128" s="59" t="s">
        <v>57</v>
      </c>
    </row>
    <row r="129" spans="1:9" ht="15.75" customHeight="1" x14ac:dyDescent="0.2">
      <c r="A129" s="24" t="s">
        <v>13</v>
      </c>
      <c r="B129" s="332" t="s">
        <v>99</v>
      </c>
      <c r="C129" s="332"/>
      <c r="D129" s="332"/>
      <c r="E129" s="332"/>
      <c r="F129" s="332"/>
      <c r="G129" s="332"/>
      <c r="H129" s="332"/>
      <c r="I129" s="60">
        <v>0</v>
      </c>
    </row>
    <row r="130" spans="1:9" ht="15.75" customHeight="1" x14ac:dyDescent="0.2">
      <c r="A130" s="336" t="s">
        <v>58</v>
      </c>
      <c r="B130" s="336"/>
      <c r="C130" s="336"/>
      <c r="D130" s="336"/>
      <c r="E130" s="336"/>
      <c r="F130" s="336"/>
      <c r="G130" s="336"/>
      <c r="H130" s="336"/>
      <c r="I130" s="60">
        <v>0</v>
      </c>
    </row>
    <row r="131" spans="1:9" ht="7.5" customHeight="1" x14ac:dyDescent="0.2">
      <c r="A131" s="337"/>
      <c r="B131" s="337"/>
      <c r="C131" s="337"/>
      <c r="D131" s="337"/>
      <c r="E131" s="337"/>
      <c r="F131" s="337"/>
      <c r="G131" s="337"/>
      <c r="H131" s="337"/>
      <c r="I131" s="337"/>
    </row>
    <row r="132" spans="1:9" ht="23.65" customHeight="1" x14ac:dyDescent="0.2">
      <c r="A132" s="330" t="s">
        <v>100</v>
      </c>
      <c r="B132" s="330"/>
      <c r="C132" s="330"/>
      <c r="D132" s="330"/>
      <c r="E132" s="330"/>
      <c r="F132" s="330"/>
      <c r="G132" s="330"/>
      <c r="H132" s="330"/>
      <c r="I132" s="330"/>
    </row>
    <row r="133" spans="1:9" ht="23.65" customHeight="1" x14ac:dyDescent="0.2">
      <c r="A133" s="28">
        <v>4</v>
      </c>
      <c r="B133" s="331" t="s">
        <v>101</v>
      </c>
      <c r="C133" s="331"/>
      <c r="D133" s="331"/>
      <c r="E133" s="331"/>
      <c r="F133" s="331"/>
      <c r="G133" s="331"/>
      <c r="H133" s="331"/>
      <c r="I133" s="59" t="s">
        <v>57</v>
      </c>
    </row>
    <row r="134" spans="1:9" ht="19.149999999999999" customHeight="1" x14ac:dyDescent="0.2">
      <c r="A134" s="61" t="s">
        <v>94</v>
      </c>
      <c r="B134" s="332" t="s">
        <v>95</v>
      </c>
      <c r="C134" s="332"/>
      <c r="D134" s="332"/>
      <c r="E134" s="332"/>
      <c r="F134" s="332"/>
      <c r="G134" s="332"/>
      <c r="H134" s="332"/>
      <c r="I134" s="60">
        <f>I125</f>
        <v>907.33496000000014</v>
      </c>
    </row>
    <row r="135" spans="1:9" ht="21.75" customHeight="1" x14ac:dyDescent="0.2">
      <c r="A135" s="61" t="s">
        <v>102</v>
      </c>
      <c r="B135" s="332" t="s">
        <v>98</v>
      </c>
      <c r="C135" s="332"/>
      <c r="D135" s="332"/>
      <c r="E135" s="332"/>
      <c r="F135" s="332"/>
      <c r="G135" s="332"/>
      <c r="H135" s="332"/>
      <c r="I135" s="60">
        <f>I130</f>
        <v>0</v>
      </c>
    </row>
    <row r="136" spans="1:9" ht="23.65" customHeight="1" x14ac:dyDescent="0.2">
      <c r="A136" s="333" t="s">
        <v>58</v>
      </c>
      <c r="B136" s="333"/>
      <c r="C136" s="333"/>
      <c r="D136" s="333"/>
      <c r="E136" s="333"/>
      <c r="F136" s="333"/>
      <c r="G136" s="333"/>
      <c r="H136" s="333"/>
      <c r="I136" s="25">
        <f>SUM(I134+I135)</f>
        <v>907.33496000000014</v>
      </c>
    </row>
    <row r="137" spans="1:9" ht="7.5" customHeight="1" x14ac:dyDescent="0.2">
      <c r="A137" s="305"/>
      <c r="B137" s="305"/>
      <c r="C137" s="305"/>
      <c r="D137" s="305"/>
      <c r="E137" s="305"/>
      <c r="F137" s="305"/>
      <c r="G137" s="305"/>
      <c r="H137" s="305"/>
      <c r="I137" s="305"/>
    </row>
    <row r="138" spans="1:9" s="26" customFormat="1" ht="27.75" customHeight="1" x14ac:dyDescent="0.2">
      <c r="A138" s="326" t="s">
        <v>103</v>
      </c>
      <c r="B138" s="326"/>
      <c r="C138" s="326"/>
      <c r="D138" s="326"/>
      <c r="E138" s="326"/>
      <c r="F138" s="326"/>
      <c r="G138" s="326"/>
      <c r="H138" s="326"/>
      <c r="I138" s="326"/>
    </row>
    <row r="139" spans="1:9" ht="27" customHeight="1" x14ac:dyDescent="0.2">
      <c r="A139" s="41">
        <v>3</v>
      </c>
      <c r="B139" s="327" t="s">
        <v>104</v>
      </c>
      <c r="C139" s="327"/>
      <c r="D139" s="327"/>
      <c r="E139" s="327"/>
      <c r="F139" s="327"/>
      <c r="G139" s="327"/>
      <c r="H139" s="327"/>
      <c r="I139" s="41" t="s">
        <v>57</v>
      </c>
    </row>
    <row r="140" spans="1:9" ht="27.6" customHeight="1" x14ac:dyDescent="0.2">
      <c r="A140" s="42" t="s">
        <v>13</v>
      </c>
      <c r="B140" s="328" t="s">
        <v>250</v>
      </c>
      <c r="C140" s="328"/>
      <c r="D140" s="328"/>
      <c r="E140" s="328"/>
      <c r="F140" s="328"/>
      <c r="G140" s="328"/>
      <c r="H140" s="328"/>
      <c r="I140" s="152">
        <f>'INSUMOS DOS POSTOS'!J57</f>
        <v>33.770000000000003</v>
      </c>
    </row>
    <row r="141" spans="1:9" ht="15.75" customHeight="1" x14ac:dyDescent="0.2">
      <c r="A141" s="42" t="s">
        <v>15</v>
      </c>
      <c r="B141" s="328" t="s">
        <v>251</v>
      </c>
      <c r="C141" s="328"/>
      <c r="D141" s="328"/>
      <c r="E141" s="328"/>
      <c r="F141" s="328"/>
      <c r="G141" s="328"/>
      <c r="H141" s="328"/>
      <c r="I141" s="153">
        <f>'INSUMOS DOS POSTOS'!J58</f>
        <v>90.14</v>
      </c>
    </row>
    <row r="142" spans="1:9" ht="15.75" customHeight="1" x14ac:dyDescent="0.2">
      <c r="A142" s="42" t="s">
        <v>17</v>
      </c>
      <c r="B142" s="328" t="s">
        <v>252</v>
      </c>
      <c r="C142" s="328"/>
      <c r="D142" s="328"/>
      <c r="E142" s="328"/>
      <c r="F142" s="328"/>
      <c r="G142" s="328"/>
      <c r="H142" s="328"/>
      <c r="I142" s="153">
        <f>'INSUMOS DOS POSTOS'!J59</f>
        <v>212.96</v>
      </c>
    </row>
    <row r="143" spans="1:9" ht="15.75" customHeight="1" x14ac:dyDescent="0.2">
      <c r="A143" s="42" t="s">
        <v>19</v>
      </c>
      <c r="B143" s="328" t="s">
        <v>253</v>
      </c>
      <c r="C143" s="328"/>
      <c r="D143" s="328"/>
      <c r="E143" s="328"/>
      <c r="F143" s="328"/>
      <c r="G143" s="328"/>
      <c r="H143" s="328"/>
      <c r="I143" s="153">
        <f>'INSUMOS DOS POSTOS'!J60</f>
        <v>21.07</v>
      </c>
    </row>
    <row r="144" spans="1:9" ht="17.850000000000001" customHeight="1" x14ac:dyDescent="0.2">
      <c r="A144" s="42" t="s">
        <v>49</v>
      </c>
      <c r="B144" s="329" t="s">
        <v>81</v>
      </c>
      <c r="C144" s="329"/>
      <c r="D144" s="329"/>
      <c r="E144" s="329"/>
      <c r="F144" s="329"/>
      <c r="G144" s="329"/>
      <c r="H144" s="329"/>
      <c r="I144" s="151"/>
    </row>
    <row r="145" spans="1:9" ht="15.75" customHeight="1" x14ac:dyDescent="0.2">
      <c r="A145" s="308" t="s">
        <v>105</v>
      </c>
      <c r="B145" s="308"/>
      <c r="C145" s="308"/>
      <c r="D145" s="308"/>
      <c r="E145" s="308"/>
      <c r="F145" s="308"/>
      <c r="G145" s="308"/>
      <c r="H145" s="308"/>
      <c r="I145" s="62">
        <f>ROUND(SUM(I140:I144),2)</f>
        <v>357.94</v>
      </c>
    </row>
    <row r="146" spans="1:9" ht="7.5" customHeight="1" x14ac:dyDescent="0.2">
      <c r="A146" s="322"/>
      <c r="B146" s="322"/>
      <c r="C146" s="322"/>
      <c r="D146" s="322"/>
      <c r="E146" s="322"/>
      <c r="F146" s="322"/>
      <c r="G146" s="322"/>
      <c r="H146" s="322"/>
      <c r="I146" s="322"/>
    </row>
    <row r="147" spans="1:9" ht="15.75" customHeight="1" x14ac:dyDescent="0.2">
      <c r="A147" s="323" t="s">
        <v>106</v>
      </c>
      <c r="B147" s="323"/>
      <c r="C147" s="323"/>
      <c r="D147" s="323"/>
      <c r="E147" s="323"/>
      <c r="F147" s="323"/>
      <c r="G147" s="323"/>
      <c r="H147" s="323"/>
      <c r="I147" s="323"/>
    </row>
    <row r="148" spans="1:9" ht="7.15" customHeight="1" x14ac:dyDescent="0.2">
      <c r="A148" s="63"/>
      <c r="B148" s="64"/>
      <c r="C148" s="64"/>
      <c r="D148" s="64"/>
      <c r="E148" s="64"/>
      <c r="F148" s="64"/>
      <c r="G148" s="64"/>
      <c r="H148" s="64"/>
      <c r="I148" s="65"/>
    </row>
    <row r="149" spans="1:9" ht="15.75" x14ac:dyDescent="0.2">
      <c r="A149" s="324" t="s">
        <v>107</v>
      </c>
      <c r="B149" s="324"/>
      <c r="C149" s="324"/>
      <c r="D149" s="324"/>
      <c r="E149" s="324"/>
      <c r="F149" s="324"/>
      <c r="G149" s="324"/>
      <c r="H149" s="324"/>
      <c r="I149" s="324"/>
    </row>
    <row r="150" spans="1:9" ht="30" x14ac:dyDescent="0.2">
      <c r="A150" s="41">
        <v>6</v>
      </c>
      <c r="B150" s="325" t="s">
        <v>108</v>
      </c>
      <c r="C150" s="325"/>
      <c r="D150" s="325"/>
      <c r="E150" s="325"/>
      <c r="F150" s="325"/>
      <c r="G150" s="325"/>
      <c r="H150" s="5" t="s">
        <v>47</v>
      </c>
      <c r="I150" s="66" t="s">
        <v>61</v>
      </c>
    </row>
    <row r="151" spans="1:9" ht="50.65" customHeight="1" x14ac:dyDescent="0.2">
      <c r="A151" s="318" t="s">
        <v>109</v>
      </c>
      <c r="B151" s="318"/>
      <c r="C151" s="318"/>
      <c r="D151" s="318"/>
      <c r="E151" s="318"/>
      <c r="F151" s="318"/>
      <c r="G151" s="318"/>
      <c r="H151" s="67" t="s">
        <v>24</v>
      </c>
      <c r="I151" s="68">
        <f>SUM(I50+I100+I109+I136+I145)</f>
        <v>11969.00496</v>
      </c>
    </row>
    <row r="152" spans="1:9" ht="15.75" customHeight="1" x14ac:dyDescent="0.2">
      <c r="A152" s="42" t="s">
        <v>13</v>
      </c>
      <c r="B152" s="319" t="s">
        <v>110</v>
      </c>
      <c r="C152" s="319"/>
      <c r="D152" s="319"/>
      <c r="E152" s="319"/>
      <c r="F152" s="319"/>
      <c r="G152" s="319"/>
      <c r="H152" s="240">
        <v>0.06</v>
      </c>
      <c r="I152" s="31">
        <f>ROUND(H152*I151,2)</f>
        <v>718.14</v>
      </c>
    </row>
    <row r="153" spans="1:9" ht="50.65" customHeight="1" x14ac:dyDescent="0.2">
      <c r="A153" s="318" t="s">
        <v>111</v>
      </c>
      <c r="B153" s="318"/>
      <c r="C153" s="318"/>
      <c r="D153" s="318"/>
      <c r="E153" s="318"/>
      <c r="F153" s="318"/>
      <c r="G153" s="318"/>
      <c r="H153" s="69" t="s">
        <v>24</v>
      </c>
      <c r="I153" s="68">
        <f>SUM(I50+I100+I109+I136+I145+I152)</f>
        <v>12687.14496</v>
      </c>
    </row>
    <row r="154" spans="1:9" ht="15.75" customHeight="1" x14ac:dyDescent="0.2">
      <c r="A154" s="42" t="s">
        <v>15</v>
      </c>
      <c r="B154" s="319" t="s">
        <v>112</v>
      </c>
      <c r="C154" s="319"/>
      <c r="D154" s="319"/>
      <c r="E154" s="319"/>
      <c r="F154" s="319"/>
      <c r="G154" s="319"/>
      <c r="H154" s="240">
        <v>6.7900000000000002E-2</v>
      </c>
      <c r="I154" s="31">
        <f>ROUND(H154*I153,2)</f>
        <v>861.46</v>
      </c>
    </row>
    <row r="155" spans="1:9" ht="48.75" customHeight="1" x14ac:dyDescent="0.2">
      <c r="A155" s="318" t="s">
        <v>113</v>
      </c>
      <c r="B155" s="318"/>
      <c r="C155" s="318"/>
      <c r="D155" s="318"/>
      <c r="E155" s="318"/>
      <c r="F155" s="318"/>
      <c r="G155" s="318"/>
      <c r="H155" s="69" t="s">
        <v>24</v>
      </c>
      <c r="I155" s="68">
        <f>SUM(I151+I152+I154)</f>
        <v>13548.604960000001</v>
      </c>
    </row>
    <row r="156" spans="1:9" ht="17.100000000000001" customHeight="1" x14ac:dyDescent="0.2">
      <c r="A156" s="70" t="s">
        <v>17</v>
      </c>
      <c r="B156" s="320" t="s">
        <v>114</v>
      </c>
      <c r="C156" s="320"/>
      <c r="D156" s="320"/>
      <c r="E156" s="320"/>
      <c r="F156" s="320"/>
      <c r="G156" s="320"/>
      <c r="H156" s="71" t="s">
        <v>24</v>
      </c>
      <c r="I156" s="18" t="s">
        <v>24</v>
      </c>
    </row>
    <row r="157" spans="1:9" ht="12.75" x14ac:dyDescent="0.2">
      <c r="A157" s="42"/>
      <c r="B157" s="321" t="s">
        <v>115</v>
      </c>
      <c r="C157" s="321"/>
      <c r="D157" s="321"/>
      <c r="E157" s="321"/>
      <c r="F157" s="321"/>
      <c r="G157" s="321"/>
      <c r="H157" s="71" t="s">
        <v>24</v>
      </c>
      <c r="I157" s="18" t="s">
        <v>24</v>
      </c>
    </row>
    <row r="158" spans="1:9" ht="22.5" customHeight="1" x14ac:dyDescent="0.2">
      <c r="A158" s="42"/>
      <c r="B158" s="314" t="s">
        <v>116</v>
      </c>
      <c r="C158" s="314"/>
      <c r="D158" s="314"/>
      <c r="E158" s="314"/>
      <c r="F158" s="314"/>
      <c r="G158" s="314"/>
      <c r="H158" s="241">
        <v>0.03</v>
      </c>
      <c r="I158" s="72">
        <f>ROUND(($I$155/(1-$H$167))*H158,2)</f>
        <v>430.8</v>
      </c>
    </row>
    <row r="159" spans="1:9" ht="22.5" customHeight="1" x14ac:dyDescent="0.2">
      <c r="A159" s="42"/>
      <c r="B159" s="314" t="s">
        <v>117</v>
      </c>
      <c r="C159" s="314"/>
      <c r="D159" s="314"/>
      <c r="E159" s="314"/>
      <c r="F159" s="314"/>
      <c r="G159" s="314"/>
      <c r="H159" s="241">
        <v>6.4999999999999997E-3</v>
      </c>
      <c r="I159" s="72">
        <f>ROUND(($I$155/(1-$H$167))*H159,2)</f>
        <v>93.34</v>
      </c>
    </row>
    <row r="160" spans="1:9" ht="29.25" customHeight="1" x14ac:dyDescent="0.2">
      <c r="A160" s="42"/>
      <c r="B160" s="315" t="s">
        <v>0</v>
      </c>
      <c r="C160" s="315"/>
      <c r="D160" s="315"/>
      <c r="E160" s="315"/>
      <c r="F160" s="315"/>
      <c r="G160" s="315"/>
      <c r="H160" s="73" t="s">
        <v>24</v>
      </c>
      <c r="I160" s="18" t="s">
        <v>24</v>
      </c>
    </row>
    <row r="161" spans="1:11" ht="29.25" customHeight="1" x14ac:dyDescent="0.2">
      <c r="A161" s="42"/>
      <c r="B161" s="315" t="s">
        <v>1</v>
      </c>
      <c r="C161" s="315"/>
      <c r="D161" s="315"/>
      <c r="E161" s="315"/>
      <c r="F161" s="315"/>
      <c r="G161" s="315"/>
      <c r="H161" s="73" t="s">
        <v>24</v>
      </c>
      <c r="I161" s="18" t="s">
        <v>24</v>
      </c>
    </row>
    <row r="162" spans="1:11" ht="18" customHeight="1" x14ac:dyDescent="0.2">
      <c r="A162" s="42"/>
      <c r="B162" s="316" t="s">
        <v>118</v>
      </c>
      <c r="C162" s="316"/>
      <c r="D162" s="316"/>
      <c r="E162" s="316"/>
      <c r="F162" s="316"/>
      <c r="G162" s="316"/>
      <c r="H162" s="74" t="s">
        <v>24</v>
      </c>
      <c r="I162" s="75" t="s">
        <v>24</v>
      </c>
    </row>
    <row r="163" spans="1:11" ht="18" customHeight="1" x14ac:dyDescent="0.2">
      <c r="A163" s="42"/>
      <c r="B163" s="316" t="s">
        <v>119</v>
      </c>
      <c r="C163" s="316"/>
      <c r="D163" s="316"/>
      <c r="E163" s="316"/>
      <c r="F163" s="316"/>
      <c r="G163" s="316"/>
      <c r="H163" s="74" t="s">
        <v>24</v>
      </c>
      <c r="I163" s="75" t="s">
        <v>24</v>
      </c>
    </row>
    <row r="164" spans="1:11" ht="15" customHeight="1" x14ac:dyDescent="0.2">
      <c r="A164" s="42"/>
      <c r="B164" s="317" t="s">
        <v>224</v>
      </c>
      <c r="C164" s="317"/>
      <c r="D164" s="317"/>
      <c r="E164" s="317"/>
      <c r="F164" s="317"/>
      <c r="G164" s="317"/>
      <c r="H164" s="241">
        <v>0.02</v>
      </c>
      <c r="I164" s="72">
        <f>ROUND(($I$155/(1-$H$167))*H164,2)</f>
        <v>287.2</v>
      </c>
    </row>
    <row r="165" spans="1:11" ht="15.75" customHeight="1" x14ac:dyDescent="0.2">
      <c r="A165" s="308" t="s">
        <v>89</v>
      </c>
      <c r="B165" s="308"/>
      <c r="C165" s="308"/>
      <c r="D165" s="308"/>
      <c r="E165" s="308"/>
      <c r="F165" s="308"/>
      <c r="G165" s="308"/>
      <c r="H165" s="308"/>
      <c r="I165" s="36">
        <f>SUM(I152+I154+I158+I159+I164)</f>
        <v>2390.9399999999996</v>
      </c>
    </row>
    <row r="166" spans="1:11" ht="6.75" customHeight="1" x14ac:dyDescent="0.2">
      <c r="A166" s="305"/>
      <c r="B166" s="305"/>
      <c r="C166" s="305"/>
      <c r="D166" s="305"/>
      <c r="E166" s="305"/>
      <c r="F166" s="305"/>
      <c r="G166" s="305"/>
      <c r="H166" s="305"/>
      <c r="I166" s="305"/>
    </row>
    <row r="167" spans="1:11" ht="15.75" customHeight="1" x14ac:dyDescent="0.2">
      <c r="A167" s="309" t="s">
        <v>120</v>
      </c>
      <c r="B167" s="309"/>
      <c r="C167" s="309"/>
      <c r="D167" s="309"/>
      <c r="E167" s="309"/>
      <c r="F167" s="309"/>
      <c r="G167" s="309"/>
      <c r="H167" s="76">
        <f>SUM(H158:H164)</f>
        <v>5.6499999999999995E-2</v>
      </c>
      <c r="I167" s="77">
        <f>SUM(I158:I164)</f>
        <v>811.33999999999992</v>
      </c>
    </row>
    <row r="168" spans="1:11" ht="12.75" customHeight="1" x14ac:dyDescent="0.2">
      <c r="A168" s="310" t="s">
        <v>121</v>
      </c>
      <c r="B168" s="310"/>
      <c r="C168" s="311" t="s">
        <v>122</v>
      </c>
      <c r="D168" s="311"/>
      <c r="E168" s="311"/>
      <c r="F168" s="311"/>
      <c r="G168" s="311"/>
      <c r="H168" s="311"/>
      <c r="I168" s="311"/>
    </row>
    <row r="169" spans="1:11" ht="12" customHeight="1" x14ac:dyDescent="0.2">
      <c r="A169" s="310"/>
      <c r="B169" s="310"/>
      <c r="C169" s="312" t="s">
        <v>123</v>
      </c>
      <c r="D169" s="312"/>
      <c r="E169" s="312"/>
      <c r="F169" s="312"/>
      <c r="G169" s="312"/>
      <c r="H169" s="312"/>
      <c r="I169" s="312"/>
    </row>
    <row r="170" spans="1:11" ht="13.5" customHeight="1" x14ac:dyDescent="0.2">
      <c r="A170" s="310"/>
      <c r="B170" s="310"/>
      <c r="C170" s="313" t="s">
        <v>124</v>
      </c>
      <c r="D170" s="313"/>
      <c r="E170" s="313"/>
      <c r="F170" s="313"/>
      <c r="G170" s="313"/>
      <c r="H170" s="313"/>
      <c r="I170" s="313"/>
    </row>
    <row r="171" spans="1:11" ht="6.75" customHeight="1" x14ac:dyDescent="0.2">
      <c r="A171" s="303"/>
      <c r="B171" s="303"/>
      <c r="C171" s="303"/>
      <c r="D171" s="303"/>
      <c r="E171" s="303"/>
      <c r="F171" s="303"/>
      <c r="G171" s="303"/>
      <c r="H171" s="303"/>
      <c r="I171" s="303"/>
    </row>
    <row r="172" spans="1:11" ht="24.6" customHeight="1" x14ac:dyDescent="0.2">
      <c r="A172" s="304" t="s">
        <v>125</v>
      </c>
      <c r="B172" s="304"/>
      <c r="C172" s="304"/>
      <c r="D172" s="304"/>
      <c r="E172" s="304"/>
      <c r="F172" s="304"/>
      <c r="G172" s="304"/>
      <c r="H172" s="304"/>
      <c r="I172" s="304"/>
    </row>
    <row r="173" spans="1:11" ht="5.25" customHeight="1" x14ac:dyDescent="0.2">
      <c r="A173" s="305"/>
      <c r="B173" s="305"/>
      <c r="C173" s="305"/>
      <c r="D173" s="305"/>
      <c r="E173" s="305"/>
      <c r="F173" s="305"/>
      <c r="G173" s="305"/>
      <c r="H173" s="305"/>
      <c r="I173" s="305"/>
    </row>
    <row r="174" spans="1:11" ht="28.15" customHeight="1" x14ac:dyDescent="0.2">
      <c r="A174" s="306" t="s">
        <v>151</v>
      </c>
      <c r="B174" s="306"/>
      <c r="C174" s="306"/>
      <c r="D174" s="306"/>
      <c r="E174" s="306"/>
      <c r="F174" s="306"/>
      <c r="G174" s="306"/>
      <c r="H174" s="306"/>
      <c r="I174" s="306"/>
    </row>
    <row r="175" spans="1:11" ht="15" customHeight="1" x14ac:dyDescent="0.2">
      <c r="A175" s="307" t="s">
        <v>126</v>
      </c>
      <c r="B175" s="307"/>
      <c r="C175" s="307"/>
      <c r="D175" s="307"/>
      <c r="E175" s="307"/>
      <c r="F175" s="307"/>
      <c r="G175" s="307"/>
      <c r="H175" s="307"/>
      <c r="I175" s="5" t="s">
        <v>57</v>
      </c>
    </row>
    <row r="176" spans="1:11" ht="15" customHeight="1" x14ac:dyDescent="0.2">
      <c r="A176" s="79" t="s">
        <v>13</v>
      </c>
      <c r="B176" s="302" t="s">
        <v>127</v>
      </c>
      <c r="C176" s="302"/>
      <c r="D176" s="302"/>
      <c r="E176" s="302"/>
      <c r="F176" s="302"/>
      <c r="G176" s="302"/>
      <c r="H176" s="302"/>
      <c r="I176" s="49">
        <f>I50</f>
        <v>6270.72</v>
      </c>
      <c r="K176" s="78"/>
    </row>
    <row r="177" spans="1:256" ht="15" customHeight="1" x14ac:dyDescent="0.2">
      <c r="A177" s="79" t="s">
        <v>15</v>
      </c>
      <c r="B177" s="302" t="s">
        <v>128</v>
      </c>
      <c r="C177" s="302"/>
      <c r="D177" s="302"/>
      <c r="E177" s="302"/>
      <c r="F177" s="302"/>
      <c r="G177" s="302"/>
      <c r="H177" s="302"/>
      <c r="I177" s="49">
        <f>I100</f>
        <v>3995.96</v>
      </c>
    </row>
    <row r="178" spans="1:256" ht="15" customHeight="1" x14ac:dyDescent="0.2">
      <c r="A178" s="79" t="s">
        <v>17</v>
      </c>
      <c r="B178" s="302" t="s">
        <v>129</v>
      </c>
      <c r="C178" s="302"/>
      <c r="D178" s="302"/>
      <c r="E178" s="302"/>
      <c r="F178" s="302"/>
      <c r="G178" s="302"/>
      <c r="H178" s="302"/>
      <c r="I178" s="49">
        <f>I109</f>
        <v>437.05</v>
      </c>
    </row>
    <row r="179" spans="1:256" ht="15" customHeight="1" x14ac:dyDescent="0.2">
      <c r="A179" s="79" t="s">
        <v>19</v>
      </c>
      <c r="B179" s="302" t="s">
        <v>130</v>
      </c>
      <c r="C179" s="302"/>
      <c r="D179" s="302"/>
      <c r="E179" s="302"/>
      <c r="F179" s="302"/>
      <c r="G179" s="302"/>
      <c r="H179" s="302"/>
      <c r="I179" s="49">
        <f>I136</f>
        <v>907.33496000000014</v>
      </c>
    </row>
    <row r="180" spans="1:256" ht="15" customHeight="1" x14ac:dyDescent="0.2">
      <c r="A180" s="79" t="s">
        <v>49</v>
      </c>
      <c r="B180" s="302" t="s">
        <v>153</v>
      </c>
      <c r="C180" s="302"/>
      <c r="D180" s="302"/>
      <c r="E180" s="302"/>
      <c r="F180" s="302"/>
      <c r="G180" s="302"/>
      <c r="H180" s="302"/>
      <c r="I180" s="49">
        <f>I145</f>
        <v>357.94</v>
      </c>
    </row>
    <row r="181" spans="1:256" ht="15" customHeight="1" x14ac:dyDescent="0.2">
      <c r="A181" s="301" t="s">
        <v>131</v>
      </c>
      <c r="B181" s="301"/>
      <c r="C181" s="301"/>
      <c r="D181" s="301"/>
      <c r="E181" s="301"/>
      <c r="F181" s="301"/>
      <c r="G181" s="301"/>
      <c r="H181" s="301"/>
      <c r="I181" s="49">
        <f>ROUND(SUM(I176:I180),2)</f>
        <v>11969</v>
      </c>
    </row>
    <row r="182" spans="1:256" ht="15" customHeight="1" x14ac:dyDescent="0.2">
      <c r="A182" s="80" t="s">
        <v>50</v>
      </c>
      <c r="B182" s="302" t="s">
        <v>107</v>
      </c>
      <c r="C182" s="302"/>
      <c r="D182" s="302"/>
      <c r="E182" s="302"/>
      <c r="F182" s="302"/>
      <c r="G182" s="302"/>
      <c r="H182" s="302"/>
      <c r="I182" s="62">
        <f>I165</f>
        <v>2390.9399999999996</v>
      </c>
    </row>
    <row r="183" spans="1:256" ht="15" customHeight="1" x14ac:dyDescent="0.2">
      <c r="A183" s="301" t="s">
        <v>132</v>
      </c>
      <c r="B183" s="301"/>
      <c r="C183" s="301"/>
      <c r="D183" s="301"/>
      <c r="E183" s="301"/>
      <c r="F183" s="301"/>
      <c r="G183" s="301"/>
      <c r="H183" s="301"/>
      <c r="I183" s="113">
        <f>I181+I182</f>
        <v>14359.939999999999</v>
      </c>
    </row>
    <row r="184" spans="1:256" ht="17.25" customHeight="1" x14ac:dyDescent="0.2">
      <c r="A184" s="296" t="s">
        <v>142</v>
      </c>
      <c r="B184" s="297"/>
      <c r="C184" s="297"/>
      <c r="D184" s="297"/>
      <c r="E184" s="297"/>
      <c r="F184" s="297"/>
      <c r="G184" s="297"/>
      <c r="H184" s="297"/>
      <c r="I184" s="297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</row>
    <row r="185" spans="1:256" ht="6.75" customHeight="1" x14ac:dyDescent="0.2">
      <c r="A185" s="298"/>
      <c r="B185" s="298"/>
      <c r="C185" s="298"/>
      <c r="D185" s="298"/>
      <c r="E185" s="298"/>
      <c r="F185" s="298"/>
      <c r="G185" s="298"/>
      <c r="H185" s="298"/>
      <c r="I185" s="298"/>
    </row>
    <row r="186" spans="1:256" ht="18.75" customHeight="1" x14ac:dyDescent="0.2">
      <c r="A186" s="299" t="s">
        <v>143</v>
      </c>
      <c r="B186" s="299"/>
      <c r="C186" s="299"/>
      <c r="D186" s="299"/>
      <c r="E186" s="299"/>
      <c r="F186" s="299"/>
      <c r="G186" s="300">
        <f>I183*H16</f>
        <v>28719.879999999997</v>
      </c>
      <c r="H186" s="300"/>
      <c r="I186" s="300"/>
    </row>
    <row r="187" spans="1:256" ht="8.25" customHeight="1" x14ac:dyDescent="0.25">
      <c r="A187" s="290"/>
      <c r="B187" s="290"/>
      <c r="C187" s="290"/>
      <c r="D187" s="290"/>
      <c r="E187" s="290"/>
      <c r="F187" s="290"/>
      <c r="G187" s="290"/>
      <c r="H187" s="290"/>
      <c r="I187" s="290"/>
    </row>
    <row r="188" spans="1:256" ht="19.5" customHeight="1" x14ac:dyDescent="0.2">
      <c r="A188" s="291" t="s">
        <v>144</v>
      </c>
      <c r="B188" s="291"/>
      <c r="C188" s="291"/>
      <c r="D188" s="291"/>
      <c r="E188" s="291"/>
      <c r="F188" s="291"/>
      <c r="G188" s="292">
        <f>$H$11</f>
        <v>60</v>
      </c>
      <c r="H188" s="292"/>
      <c r="I188" s="292"/>
    </row>
    <row r="189" spans="1:256" ht="8.25" customHeight="1" x14ac:dyDescent="0.2">
      <c r="A189" s="293"/>
      <c r="B189" s="293"/>
      <c r="C189" s="293"/>
      <c r="D189" s="293"/>
      <c r="E189" s="293"/>
      <c r="F189" s="293"/>
      <c r="G189" s="293"/>
      <c r="H189" s="293"/>
      <c r="I189" s="293"/>
    </row>
    <row r="190" spans="1:256" ht="31.5" customHeight="1" x14ac:dyDescent="0.2">
      <c r="A190" s="294" t="s">
        <v>145</v>
      </c>
      <c r="B190" s="294"/>
      <c r="C190" s="294"/>
      <c r="D190" s="294"/>
      <c r="E190" s="294"/>
      <c r="F190" s="294"/>
      <c r="G190" s="295">
        <f>ROUND(G186*G188,2)</f>
        <v>1723192.8</v>
      </c>
      <c r="H190" s="295"/>
      <c r="I190" s="295"/>
    </row>
    <row r="191" spans="1:256" ht="8.25" customHeight="1" x14ac:dyDescent="0.2">
      <c r="A191" s="287"/>
      <c r="B191" s="287"/>
      <c r="C191" s="287"/>
      <c r="D191" s="287"/>
      <c r="E191" s="287"/>
      <c r="F191" s="287"/>
      <c r="G191" s="287"/>
      <c r="H191" s="287"/>
      <c r="I191" s="287"/>
    </row>
    <row r="192" spans="1:256" ht="29.25" customHeight="1" x14ac:dyDescent="0.2">
      <c r="A192" s="288" t="s">
        <v>228</v>
      </c>
      <c r="B192" s="288"/>
      <c r="C192" s="288"/>
      <c r="D192" s="288"/>
      <c r="E192" s="288"/>
      <c r="F192" s="288"/>
      <c r="G192" s="288"/>
      <c r="H192" s="288"/>
      <c r="I192" s="288"/>
    </row>
    <row r="193" spans="1:9" ht="12" customHeight="1" x14ac:dyDescent="0.2">
      <c r="A193" s="289" t="s">
        <v>146</v>
      </c>
      <c r="B193" s="289"/>
      <c r="C193" s="289"/>
      <c r="D193" s="281" t="s">
        <v>147</v>
      </c>
      <c r="E193" s="281"/>
      <c r="F193" s="281"/>
      <c r="G193" s="281"/>
      <c r="H193" s="281"/>
      <c r="I193" s="281"/>
    </row>
    <row r="194" spans="1:9" x14ac:dyDescent="0.2">
      <c r="A194" s="289"/>
      <c r="B194" s="289"/>
      <c r="C194" s="289"/>
      <c r="D194" s="281"/>
      <c r="E194" s="281"/>
      <c r="F194" s="281"/>
      <c r="G194" s="281"/>
      <c r="H194" s="281"/>
      <c r="I194" s="281"/>
    </row>
    <row r="195" spans="1:9" ht="14.65" customHeight="1" x14ac:dyDescent="0.2">
      <c r="A195" s="283" t="s">
        <v>148</v>
      </c>
      <c r="B195" s="283"/>
      <c r="C195" s="283"/>
      <c r="D195" s="284"/>
      <c r="E195" s="284"/>
      <c r="F195" s="284"/>
      <c r="G195" s="284"/>
      <c r="H195" s="284"/>
      <c r="I195" s="284"/>
    </row>
    <row r="196" spans="1:9" ht="12.75" customHeight="1" x14ac:dyDescent="0.2">
      <c r="A196" s="277"/>
      <c r="B196" s="277"/>
      <c r="C196" s="277"/>
      <c r="D196" s="284"/>
      <c r="E196" s="284"/>
      <c r="F196" s="284"/>
      <c r="G196" s="284"/>
      <c r="H196" s="284"/>
      <c r="I196" s="284"/>
    </row>
    <row r="197" spans="1:9" ht="15" customHeight="1" x14ac:dyDescent="0.2">
      <c r="A197" s="285"/>
      <c r="B197" s="285"/>
      <c r="C197" s="285"/>
      <c r="D197" s="285"/>
      <c r="E197" s="285"/>
      <c r="F197" s="285"/>
      <c r="G197" s="285"/>
      <c r="H197" s="285"/>
      <c r="I197" s="285"/>
    </row>
    <row r="198" spans="1:9" hidden="1" x14ac:dyDescent="0.2">
      <c r="A198" s="285"/>
      <c r="B198" s="285"/>
      <c r="C198" s="285"/>
      <c r="D198" s="285"/>
      <c r="E198" s="285"/>
      <c r="F198" s="285"/>
      <c r="G198" s="285"/>
      <c r="H198" s="285"/>
      <c r="I198" s="285"/>
    </row>
    <row r="199" spans="1:9" ht="27" customHeight="1" x14ac:dyDescent="0.2">
      <c r="A199" s="286" t="s">
        <v>227</v>
      </c>
      <c r="B199" s="286"/>
      <c r="C199" s="286"/>
      <c r="D199" s="286"/>
      <c r="E199" s="286"/>
      <c r="F199" s="286"/>
      <c r="G199" s="286"/>
      <c r="H199" s="286"/>
      <c r="I199" s="286"/>
    </row>
    <row r="200" spans="1:9" ht="12.75" customHeight="1" x14ac:dyDescent="0.2">
      <c r="A200" s="281" t="s">
        <v>149</v>
      </c>
      <c r="B200" s="281"/>
      <c r="C200" s="281"/>
      <c r="D200" s="281"/>
      <c r="E200" s="281"/>
      <c r="F200" s="281"/>
      <c r="G200" s="281"/>
      <c r="H200" s="281" t="s">
        <v>150</v>
      </c>
      <c r="I200" s="281"/>
    </row>
    <row r="201" spans="1:9" ht="15" customHeight="1" x14ac:dyDescent="0.25">
      <c r="A201" s="282"/>
      <c r="B201" s="282"/>
      <c r="C201" s="282"/>
      <c r="D201" s="282"/>
      <c r="E201" s="282"/>
      <c r="F201" s="282"/>
      <c r="G201" s="282"/>
      <c r="H201" s="278"/>
      <c r="I201" s="278"/>
    </row>
    <row r="202" spans="1:9" ht="12.75" customHeight="1" x14ac:dyDescent="0.2">
      <c r="A202" s="283"/>
      <c r="B202" s="283"/>
      <c r="C202" s="283"/>
      <c r="D202" s="283"/>
      <c r="E202" s="283"/>
      <c r="F202" s="283"/>
      <c r="G202" s="283"/>
      <c r="H202" s="278"/>
      <c r="I202" s="278"/>
    </row>
    <row r="203" spans="1:9" ht="12.75" customHeight="1" x14ac:dyDescent="0.2">
      <c r="A203" s="277"/>
      <c r="B203" s="277"/>
      <c r="C203" s="277"/>
      <c r="D203" s="277"/>
      <c r="E203" s="277"/>
      <c r="F203" s="277"/>
      <c r="G203" s="277"/>
      <c r="H203" s="278"/>
      <c r="I203" s="278"/>
    </row>
    <row r="213" ht="12.75" customHeight="1" x14ac:dyDescent="0.2"/>
  </sheetData>
  <mergeCells count="263">
    <mergeCell ref="A6:E6"/>
    <mergeCell ref="F6:I6"/>
    <mergeCell ref="A2:I2"/>
    <mergeCell ref="A3:I3"/>
    <mergeCell ref="A4:E4"/>
    <mergeCell ref="F4:I4"/>
    <mergeCell ref="A5:E5"/>
    <mergeCell ref="F5:I5"/>
    <mergeCell ref="B10:G10"/>
    <mergeCell ref="H10:I10"/>
    <mergeCell ref="B11:G11"/>
    <mergeCell ref="H11:I11"/>
    <mergeCell ref="A12:I12"/>
    <mergeCell ref="A13:E13"/>
    <mergeCell ref="F13:G13"/>
    <mergeCell ref="H13:I13"/>
    <mergeCell ref="A7:I7"/>
    <mergeCell ref="B8:G8"/>
    <mergeCell ref="H8:I8"/>
    <mergeCell ref="B9:G9"/>
    <mergeCell ref="H9:I9"/>
    <mergeCell ref="A16:G16"/>
    <mergeCell ref="H16:I16"/>
    <mergeCell ref="A17:I17"/>
    <mergeCell ref="A18:I18"/>
    <mergeCell ref="A19:I19"/>
    <mergeCell ref="A20:I20"/>
    <mergeCell ref="A14:E14"/>
    <mergeCell ref="F14:G14"/>
    <mergeCell ref="H14:I14"/>
    <mergeCell ref="A15:E15"/>
    <mergeCell ref="F15:G15"/>
    <mergeCell ref="H15:I15"/>
    <mergeCell ref="DY22:EF22"/>
    <mergeCell ref="AO22:AV22"/>
    <mergeCell ref="AW22:BD22"/>
    <mergeCell ref="BE22:BL22"/>
    <mergeCell ref="BM22:BT22"/>
    <mergeCell ref="BU22:CB22"/>
    <mergeCell ref="CC22:CJ22"/>
    <mergeCell ref="A21:I21"/>
    <mergeCell ref="A22:I22"/>
    <mergeCell ref="J22:P22"/>
    <mergeCell ref="Q22:X22"/>
    <mergeCell ref="Y22:AF22"/>
    <mergeCell ref="AG22:AN22"/>
    <mergeCell ref="HY22:IF22"/>
    <mergeCell ref="IG22:IN22"/>
    <mergeCell ref="IO22:IV22"/>
    <mergeCell ref="B23:G23"/>
    <mergeCell ref="H23:I23"/>
    <mergeCell ref="B24:G24"/>
    <mergeCell ref="H24:I24"/>
    <mergeCell ref="GC22:GJ22"/>
    <mergeCell ref="GK22:GR22"/>
    <mergeCell ref="GS22:GZ22"/>
    <mergeCell ref="HA22:HH22"/>
    <mergeCell ref="HI22:HP22"/>
    <mergeCell ref="HQ22:HX22"/>
    <mergeCell ref="EG22:EN22"/>
    <mergeCell ref="EO22:EV22"/>
    <mergeCell ref="EW22:FD22"/>
    <mergeCell ref="FE22:FL22"/>
    <mergeCell ref="FM22:FT22"/>
    <mergeCell ref="FU22:GB22"/>
    <mergeCell ref="CK22:CR22"/>
    <mergeCell ref="CS22:CZ22"/>
    <mergeCell ref="DA22:DH22"/>
    <mergeCell ref="DI22:DP22"/>
    <mergeCell ref="DQ22:DX22"/>
    <mergeCell ref="B28:G28"/>
    <mergeCell ref="H28:I28"/>
    <mergeCell ref="B29:G29"/>
    <mergeCell ref="H29:I29"/>
    <mergeCell ref="B30:G30"/>
    <mergeCell ref="H30:I30"/>
    <mergeCell ref="B25:G25"/>
    <mergeCell ref="H25:I25"/>
    <mergeCell ref="B26:G26"/>
    <mergeCell ref="H26:I26"/>
    <mergeCell ref="B27:G27"/>
    <mergeCell ref="H27:I27"/>
    <mergeCell ref="A35:I35"/>
    <mergeCell ref="A36:I36"/>
    <mergeCell ref="B37:G37"/>
    <mergeCell ref="B38:H38"/>
    <mergeCell ref="B39:H39"/>
    <mergeCell ref="B40:H40"/>
    <mergeCell ref="B31:G31"/>
    <mergeCell ref="H31:I31"/>
    <mergeCell ref="B32:G32"/>
    <mergeCell ref="H32:I32"/>
    <mergeCell ref="A33:I33"/>
    <mergeCell ref="A34:I34"/>
    <mergeCell ref="B47:H47"/>
    <mergeCell ref="A48:H48"/>
    <mergeCell ref="A49:I49"/>
    <mergeCell ref="A50:H50"/>
    <mergeCell ref="A51:I51"/>
    <mergeCell ref="A52:I52"/>
    <mergeCell ref="B41:H41"/>
    <mergeCell ref="B42:H42"/>
    <mergeCell ref="B43:G43"/>
    <mergeCell ref="B44:H44"/>
    <mergeCell ref="A45:H45"/>
    <mergeCell ref="A46:I46"/>
    <mergeCell ref="A59:H59"/>
    <mergeCell ref="A60:I60"/>
    <mergeCell ref="A61:I61"/>
    <mergeCell ref="A62:I62"/>
    <mergeCell ref="B63:G63"/>
    <mergeCell ref="A53:I53"/>
    <mergeCell ref="A54:I54"/>
    <mergeCell ref="A55:I55"/>
    <mergeCell ref="B56:H56"/>
    <mergeCell ref="B57:G57"/>
    <mergeCell ref="B58:G58"/>
    <mergeCell ref="B70:G70"/>
    <mergeCell ref="B71:G71"/>
    <mergeCell ref="A72:G72"/>
    <mergeCell ref="A74:I74"/>
    <mergeCell ref="A75:I75"/>
    <mergeCell ref="A76:I76"/>
    <mergeCell ref="B64:G64"/>
    <mergeCell ref="B65:G65"/>
    <mergeCell ref="B66:C66"/>
    <mergeCell ref="B67:G67"/>
    <mergeCell ref="B68:G68"/>
    <mergeCell ref="B69:G69"/>
    <mergeCell ref="B83:H83"/>
    <mergeCell ref="B84:G84"/>
    <mergeCell ref="B85:G85"/>
    <mergeCell ref="B86:G86"/>
    <mergeCell ref="B87:H87"/>
    <mergeCell ref="B88:H88"/>
    <mergeCell ref="B77:H77"/>
    <mergeCell ref="B78:H78"/>
    <mergeCell ref="B79:G79"/>
    <mergeCell ref="B80:G80"/>
    <mergeCell ref="B81:G81"/>
    <mergeCell ref="B82:G82"/>
    <mergeCell ref="A95:I95"/>
    <mergeCell ref="B96:H96"/>
    <mergeCell ref="B97:H97"/>
    <mergeCell ref="B98:H98"/>
    <mergeCell ref="B99:H99"/>
    <mergeCell ref="A100:H100"/>
    <mergeCell ref="B89:H89"/>
    <mergeCell ref="B90:H90"/>
    <mergeCell ref="B91:H91"/>
    <mergeCell ref="A92:I92"/>
    <mergeCell ref="A93:I93"/>
    <mergeCell ref="A94:I94"/>
    <mergeCell ref="B107:H107"/>
    <mergeCell ref="B108:G108"/>
    <mergeCell ref="A109:H109"/>
    <mergeCell ref="A110:I110"/>
    <mergeCell ref="A111:I111"/>
    <mergeCell ref="A112:I112"/>
    <mergeCell ref="A101:I101"/>
    <mergeCell ref="A102:I102"/>
    <mergeCell ref="B103:H103"/>
    <mergeCell ref="B104:H104"/>
    <mergeCell ref="B105:H105"/>
    <mergeCell ref="B106:H106"/>
    <mergeCell ref="B120:H120"/>
    <mergeCell ref="B121:H121"/>
    <mergeCell ref="B122:H122"/>
    <mergeCell ref="B123:H123"/>
    <mergeCell ref="B124:H124"/>
    <mergeCell ref="A125:H125"/>
    <mergeCell ref="A113:I113"/>
    <mergeCell ref="A114:I114"/>
    <mergeCell ref="A116:I116"/>
    <mergeCell ref="A117:I117"/>
    <mergeCell ref="B118:H118"/>
    <mergeCell ref="A132:I132"/>
    <mergeCell ref="B133:H133"/>
    <mergeCell ref="B134:H134"/>
    <mergeCell ref="B135:H135"/>
    <mergeCell ref="A136:H136"/>
    <mergeCell ref="A137:I137"/>
    <mergeCell ref="A126:I126"/>
    <mergeCell ref="A127:I127"/>
    <mergeCell ref="B128:H128"/>
    <mergeCell ref="B129:H129"/>
    <mergeCell ref="A130:H130"/>
    <mergeCell ref="A131:I131"/>
    <mergeCell ref="A146:I146"/>
    <mergeCell ref="A147:I147"/>
    <mergeCell ref="A149:I149"/>
    <mergeCell ref="B150:G150"/>
    <mergeCell ref="A151:G151"/>
    <mergeCell ref="B152:G152"/>
    <mergeCell ref="A138:I138"/>
    <mergeCell ref="B139:H139"/>
    <mergeCell ref="B140:H140"/>
    <mergeCell ref="B141:H141"/>
    <mergeCell ref="B144:H144"/>
    <mergeCell ref="A145:H145"/>
    <mergeCell ref="B142:H142"/>
    <mergeCell ref="B143:H143"/>
    <mergeCell ref="B159:G159"/>
    <mergeCell ref="B160:G160"/>
    <mergeCell ref="B161:G161"/>
    <mergeCell ref="B162:G162"/>
    <mergeCell ref="B163:G163"/>
    <mergeCell ref="B164:G164"/>
    <mergeCell ref="A153:G153"/>
    <mergeCell ref="B154:G154"/>
    <mergeCell ref="A155:G155"/>
    <mergeCell ref="B156:G156"/>
    <mergeCell ref="B157:G157"/>
    <mergeCell ref="B158:G158"/>
    <mergeCell ref="A171:I171"/>
    <mergeCell ref="A172:I172"/>
    <mergeCell ref="A173:I173"/>
    <mergeCell ref="A174:I174"/>
    <mergeCell ref="A175:H175"/>
    <mergeCell ref="B176:H176"/>
    <mergeCell ref="A165:H165"/>
    <mergeCell ref="A166:I166"/>
    <mergeCell ref="A167:G167"/>
    <mergeCell ref="A168:B170"/>
    <mergeCell ref="C168:I168"/>
    <mergeCell ref="C169:I169"/>
    <mergeCell ref="C170:I170"/>
    <mergeCell ref="G190:I190"/>
    <mergeCell ref="A184:I184"/>
    <mergeCell ref="A185:I185"/>
    <mergeCell ref="A186:F186"/>
    <mergeCell ref="G186:I186"/>
    <mergeCell ref="A183:H183"/>
    <mergeCell ref="B177:H177"/>
    <mergeCell ref="B178:H178"/>
    <mergeCell ref="B179:H179"/>
    <mergeCell ref="B180:H180"/>
    <mergeCell ref="A181:H181"/>
    <mergeCell ref="B182:H182"/>
    <mergeCell ref="A203:G203"/>
    <mergeCell ref="H203:I203"/>
    <mergeCell ref="B119:F119"/>
    <mergeCell ref="A200:G200"/>
    <mergeCell ref="H200:I200"/>
    <mergeCell ref="A201:G201"/>
    <mergeCell ref="H201:I201"/>
    <mergeCell ref="A202:G202"/>
    <mergeCell ref="H202:I202"/>
    <mergeCell ref="A196:C196"/>
    <mergeCell ref="D196:I196"/>
    <mergeCell ref="A197:I198"/>
    <mergeCell ref="A199:I199"/>
    <mergeCell ref="A191:I191"/>
    <mergeCell ref="A192:I192"/>
    <mergeCell ref="A193:C194"/>
    <mergeCell ref="D193:I194"/>
    <mergeCell ref="A195:C195"/>
    <mergeCell ref="D195:I195"/>
    <mergeCell ref="A187:I187"/>
    <mergeCell ref="A188:F188"/>
    <mergeCell ref="G188:I188"/>
    <mergeCell ref="A189:I189"/>
    <mergeCell ref="A190:F190"/>
  </mergeCells>
  <pageMargins left="1.3779527559055118" right="0.39370078740157483" top="0.39370078740157483" bottom="0.39370078740157483" header="0.31496062992125984" footer="0.31496062992125984"/>
  <pageSetup paperSize="9" scale="65" orientation="portrait" horizontalDpi="300" verticalDpi="300" r:id="rId1"/>
  <rowBreaks count="3" manualBreakCount="3">
    <brk id="53" max="8" man="1"/>
    <brk id="101" max="8" man="1"/>
    <brk id="148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9D095-CEDB-4287-A2BC-D64B8615AC83}">
  <dimension ref="A1:IV210"/>
  <sheetViews>
    <sheetView view="pageBreakPreview" topLeftCell="A182" zoomScale="120" zoomScaleNormal="120" zoomScaleSheetLayoutView="120" workbookViewId="0">
      <selection activeCell="L122" sqref="L122"/>
    </sheetView>
  </sheetViews>
  <sheetFormatPr defaultColWidth="9.28515625" defaultRowHeight="12" x14ac:dyDescent="0.2"/>
  <cols>
    <col min="1" max="1" width="15.28515625" style="1" customWidth="1"/>
    <col min="2" max="2" width="11.28515625" style="1" customWidth="1"/>
    <col min="3" max="3" width="13.28515625" style="1" customWidth="1"/>
    <col min="4" max="4" width="10.28515625" style="1" customWidth="1"/>
    <col min="5" max="5" width="12.42578125" style="1" customWidth="1"/>
    <col min="6" max="6" width="11.28515625" style="1" customWidth="1"/>
    <col min="7" max="7" width="9.7109375" style="1" customWidth="1"/>
    <col min="8" max="8" width="11.28515625" style="1" customWidth="1"/>
    <col min="9" max="9" width="16.7109375" style="2" customWidth="1"/>
    <col min="10" max="10" width="10.7109375" style="1" customWidth="1"/>
    <col min="11" max="11" width="11.28515625" style="1" customWidth="1"/>
    <col min="12" max="12" width="7.42578125" style="1" customWidth="1"/>
    <col min="13" max="13" width="6.5703125" style="1" customWidth="1"/>
    <col min="14" max="15" width="9.28515625" style="1" customWidth="1"/>
    <col min="16" max="16384" width="9.28515625" style="1"/>
  </cols>
  <sheetData>
    <row r="1" spans="1:11" x14ac:dyDescent="0.2">
      <c r="A1" s="109"/>
      <c r="B1" s="109"/>
      <c r="C1" s="109"/>
      <c r="D1" s="109"/>
      <c r="E1" s="109"/>
      <c r="F1" s="109"/>
      <c r="G1" s="109"/>
      <c r="H1" s="109"/>
      <c r="I1" s="112"/>
    </row>
    <row r="2" spans="1:11" ht="32.65" customHeight="1" x14ac:dyDescent="0.2">
      <c r="A2" s="408" t="s">
        <v>254</v>
      </c>
      <c r="B2" s="408"/>
      <c r="C2" s="408"/>
      <c r="D2" s="408"/>
      <c r="E2" s="408"/>
      <c r="F2" s="408"/>
      <c r="G2" s="408"/>
      <c r="H2" s="408"/>
      <c r="I2" s="408"/>
    </row>
    <row r="3" spans="1:11" ht="63" customHeight="1" x14ac:dyDescent="0.2">
      <c r="A3" s="409" t="s">
        <v>467</v>
      </c>
      <c r="B3" s="409"/>
      <c r="C3" s="409"/>
      <c r="D3" s="409"/>
      <c r="E3" s="409"/>
      <c r="F3" s="409"/>
      <c r="G3" s="409"/>
      <c r="H3" s="409"/>
      <c r="I3" s="409"/>
    </row>
    <row r="4" spans="1:11" ht="15.75" customHeight="1" x14ac:dyDescent="0.2">
      <c r="A4" s="329" t="s">
        <v>10</v>
      </c>
      <c r="B4" s="329"/>
      <c r="C4" s="329"/>
      <c r="D4" s="329"/>
      <c r="E4" s="329"/>
      <c r="F4" s="401"/>
      <c r="G4" s="401"/>
      <c r="H4" s="401"/>
      <c r="I4" s="401"/>
    </row>
    <row r="5" spans="1:11" ht="15.75" customHeight="1" x14ac:dyDescent="0.2">
      <c r="A5" s="329" t="s">
        <v>11</v>
      </c>
      <c r="B5" s="329"/>
      <c r="C5" s="329"/>
      <c r="D5" s="329"/>
      <c r="E5" s="329"/>
      <c r="F5" s="401"/>
      <c r="G5" s="401"/>
      <c r="H5" s="401"/>
      <c r="I5" s="401"/>
    </row>
    <row r="6" spans="1:11" ht="14.85" customHeight="1" x14ac:dyDescent="0.2">
      <c r="A6" s="358" t="s">
        <v>222</v>
      </c>
      <c r="B6" s="407"/>
      <c r="C6" s="407"/>
      <c r="D6" s="407"/>
      <c r="E6" s="407"/>
      <c r="F6" s="401"/>
      <c r="G6" s="401"/>
      <c r="H6" s="401"/>
      <c r="I6" s="401"/>
    </row>
    <row r="7" spans="1:11" ht="20.25" customHeight="1" x14ac:dyDescent="0.2">
      <c r="A7" s="307" t="s">
        <v>12</v>
      </c>
      <c r="B7" s="307"/>
      <c r="C7" s="307"/>
      <c r="D7" s="307"/>
      <c r="E7" s="307"/>
      <c r="F7" s="307"/>
      <c r="G7" s="307"/>
      <c r="H7" s="307"/>
      <c r="I7" s="307"/>
    </row>
    <row r="8" spans="1:11" ht="19.5" customHeight="1" x14ac:dyDescent="0.2">
      <c r="A8" s="3" t="s">
        <v>13</v>
      </c>
      <c r="B8" s="329" t="s">
        <v>14</v>
      </c>
      <c r="C8" s="329"/>
      <c r="D8" s="329"/>
      <c r="E8" s="329"/>
      <c r="F8" s="329"/>
      <c r="G8" s="329"/>
      <c r="H8" s="406"/>
      <c r="I8" s="406"/>
    </row>
    <row r="9" spans="1:11" ht="19.5" customHeight="1" x14ac:dyDescent="0.2">
      <c r="A9" s="3" t="s">
        <v>15</v>
      </c>
      <c r="B9" s="329" t="s">
        <v>16</v>
      </c>
      <c r="C9" s="329"/>
      <c r="D9" s="329"/>
      <c r="E9" s="329"/>
      <c r="F9" s="329"/>
      <c r="G9" s="329"/>
      <c r="H9" s="401" t="s">
        <v>223</v>
      </c>
      <c r="I9" s="401"/>
    </row>
    <row r="10" spans="1:11" ht="19.5" customHeight="1" x14ac:dyDescent="0.2">
      <c r="A10" s="3" t="s">
        <v>17</v>
      </c>
      <c r="B10" s="329" t="s">
        <v>18</v>
      </c>
      <c r="C10" s="329"/>
      <c r="D10" s="329"/>
      <c r="E10" s="329"/>
      <c r="F10" s="329"/>
      <c r="G10" s="329"/>
      <c r="H10" s="401" t="s">
        <v>445</v>
      </c>
      <c r="I10" s="401"/>
    </row>
    <row r="11" spans="1:11" ht="19.5" customHeight="1" x14ac:dyDescent="0.2">
      <c r="A11" s="3" t="s">
        <v>19</v>
      </c>
      <c r="B11" s="329" t="s">
        <v>218</v>
      </c>
      <c r="C11" s="329"/>
      <c r="D11" s="329"/>
      <c r="E11" s="329"/>
      <c r="F11" s="329"/>
      <c r="G11" s="329"/>
      <c r="H11" s="402">
        <v>60</v>
      </c>
      <c r="I11" s="402"/>
      <c r="K11" s="4"/>
    </row>
    <row r="12" spans="1:11" ht="21.4" customHeight="1" x14ac:dyDescent="0.2">
      <c r="A12" s="403" t="s">
        <v>20</v>
      </c>
      <c r="B12" s="403"/>
      <c r="C12" s="403"/>
      <c r="D12" s="403"/>
      <c r="E12" s="403"/>
      <c r="F12" s="403"/>
      <c r="G12" s="403"/>
      <c r="H12" s="403"/>
      <c r="I12" s="403"/>
    </row>
    <row r="13" spans="1:11" ht="50.65" customHeight="1" x14ac:dyDescent="0.2">
      <c r="A13" s="404" t="s">
        <v>221</v>
      </c>
      <c r="B13" s="404"/>
      <c r="C13" s="404"/>
      <c r="D13" s="404"/>
      <c r="E13" s="404"/>
      <c r="F13" s="399" t="s">
        <v>21</v>
      </c>
      <c r="G13" s="399"/>
      <c r="H13" s="405" t="s">
        <v>22</v>
      </c>
      <c r="I13" s="405"/>
    </row>
    <row r="14" spans="1:11" ht="12.75" customHeight="1" x14ac:dyDescent="0.2">
      <c r="A14" s="398" t="s">
        <v>25</v>
      </c>
      <c r="B14" s="398"/>
      <c r="C14" s="398"/>
      <c r="D14" s="398"/>
      <c r="E14" s="398"/>
      <c r="F14" s="399" t="s">
        <v>23</v>
      </c>
      <c r="G14" s="399"/>
      <c r="H14" s="400">
        <v>1</v>
      </c>
      <c r="I14" s="400"/>
    </row>
    <row r="15" spans="1:11" ht="12.75" customHeight="1" x14ac:dyDescent="0.2">
      <c r="A15" s="329" t="s">
        <v>26</v>
      </c>
      <c r="B15" s="329"/>
      <c r="C15" s="329"/>
      <c r="D15" s="329"/>
      <c r="E15" s="329"/>
      <c r="F15" s="281" t="s">
        <v>23</v>
      </c>
      <c r="G15" s="281"/>
      <c r="H15" s="397" t="s">
        <v>24</v>
      </c>
      <c r="I15" s="397"/>
    </row>
    <row r="16" spans="1:11" ht="12.75" customHeight="1" x14ac:dyDescent="0.2">
      <c r="A16" s="393" t="s">
        <v>27</v>
      </c>
      <c r="B16" s="393"/>
      <c r="C16" s="393"/>
      <c r="D16" s="393"/>
      <c r="E16" s="393"/>
      <c r="F16" s="393"/>
      <c r="G16" s="393"/>
      <c r="H16" s="394">
        <f>SUM(H14:H15)</f>
        <v>1</v>
      </c>
      <c r="I16" s="394"/>
    </row>
    <row r="17" spans="1:256" ht="8.25" customHeight="1" x14ac:dyDescent="0.2">
      <c r="A17" s="362"/>
      <c r="B17" s="362"/>
      <c r="C17" s="362"/>
      <c r="D17" s="362"/>
      <c r="E17" s="362"/>
      <c r="F17" s="362"/>
      <c r="G17" s="362"/>
      <c r="H17" s="362"/>
      <c r="I17" s="362"/>
    </row>
    <row r="18" spans="1:256" ht="47.25" customHeight="1" x14ac:dyDescent="0.2">
      <c r="A18" s="395" t="s">
        <v>28</v>
      </c>
      <c r="B18" s="395"/>
      <c r="C18" s="395"/>
      <c r="D18" s="395"/>
      <c r="E18" s="395"/>
      <c r="F18" s="395"/>
      <c r="G18" s="395"/>
      <c r="H18" s="395"/>
      <c r="I18" s="395"/>
      <c r="J18" s="6"/>
      <c r="K18" s="7"/>
      <c r="L18" s="8"/>
    </row>
    <row r="19" spans="1:256" ht="7.5" customHeight="1" x14ac:dyDescent="0.2">
      <c r="A19" s="360"/>
      <c r="B19" s="360"/>
      <c r="C19" s="360"/>
      <c r="D19" s="360"/>
      <c r="E19" s="360"/>
      <c r="F19" s="360"/>
      <c r="G19" s="360"/>
      <c r="H19" s="360"/>
      <c r="I19" s="360"/>
      <c r="J19" s="6"/>
      <c r="K19" s="7"/>
      <c r="L19" s="8"/>
    </row>
    <row r="20" spans="1:256" ht="50.25" customHeight="1" x14ac:dyDescent="0.3">
      <c r="A20" s="396" t="s">
        <v>29</v>
      </c>
      <c r="B20" s="396"/>
      <c r="C20" s="396"/>
      <c r="D20" s="396"/>
      <c r="E20" s="396"/>
      <c r="F20" s="396"/>
      <c r="G20" s="396"/>
      <c r="H20" s="396"/>
      <c r="I20" s="396"/>
      <c r="J20" s="6"/>
      <c r="K20" s="7"/>
      <c r="L20" s="8"/>
    </row>
    <row r="21" spans="1:256" ht="7.5" customHeight="1" x14ac:dyDescent="0.25">
      <c r="A21" s="392"/>
      <c r="B21" s="392"/>
      <c r="C21" s="392"/>
      <c r="D21" s="392"/>
      <c r="E21" s="392"/>
      <c r="F21" s="392"/>
      <c r="G21" s="392"/>
      <c r="H21" s="392"/>
      <c r="I21" s="392"/>
      <c r="J21" s="6"/>
      <c r="K21" s="7"/>
      <c r="L21" s="8"/>
    </row>
    <row r="22" spans="1:256" s="9" customFormat="1" ht="21.75" customHeight="1" x14ac:dyDescent="0.2">
      <c r="A22" s="307" t="s">
        <v>30</v>
      </c>
      <c r="B22" s="307"/>
      <c r="C22" s="307"/>
      <c r="D22" s="307"/>
      <c r="E22" s="307"/>
      <c r="F22" s="307"/>
      <c r="G22" s="307"/>
      <c r="H22" s="307"/>
      <c r="I22" s="307"/>
      <c r="J22" s="389"/>
      <c r="K22" s="389"/>
      <c r="L22" s="389"/>
      <c r="M22" s="389"/>
      <c r="N22" s="389"/>
      <c r="O22" s="389"/>
      <c r="P22" s="389"/>
      <c r="Q22" s="389"/>
      <c r="R22" s="389"/>
      <c r="S22" s="389"/>
      <c r="T22" s="389"/>
      <c r="U22" s="389"/>
      <c r="V22" s="389"/>
      <c r="W22" s="389"/>
      <c r="X22" s="389"/>
      <c r="Y22" s="389"/>
      <c r="Z22" s="389"/>
      <c r="AA22" s="389"/>
      <c r="AB22" s="389"/>
      <c r="AC22" s="389"/>
      <c r="AD22" s="389"/>
      <c r="AE22" s="389"/>
      <c r="AF22" s="389"/>
      <c r="AG22" s="389"/>
      <c r="AH22" s="389"/>
      <c r="AI22" s="389"/>
      <c r="AJ22" s="389"/>
      <c r="AK22" s="389"/>
      <c r="AL22" s="389"/>
      <c r="AM22" s="389"/>
      <c r="AN22" s="389"/>
      <c r="AO22" s="389"/>
      <c r="AP22" s="389"/>
      <c r="AQ22" s="389"/>
      <c r="AR22" s="389"/>
      <c r="AS22" s="389"/>
      <c r="AT22" s="389"/>
      <c r="AU22" s="389"/>
      <c r="AV22" s="389"/>
      <c r="AW22" s="389"/>
      <c r="AX22" s="389"/>
      <c r="AY22" s="389"/>
      <c r="AZ22" s="389"/>
      <c r="BA22" s="389"/>
      <c r="BB22" s="389"/>
      <c r="BC22" s="389"/>
      <c r="BD22" s="389"/>
      <c r="BE22" s="389"/>
      <c r="BF22" s="389"/>
      <c r="BG22" s="389"/>
      <c r="BH22" s="389"/>
      <c r="BI22" s="389"/>
      <c r="BJ22" s="389"/>
      <c r="BK22" s="389"/>
      <c r="BL22" s="389"/>
      <c r="BM22" s="389"/>
      <c r="BN22" s="389"/>
      <c r="BO22" s="389"/>
      <c r="BP22" s="389"/>
      <c r="BQ22" s="389"/>
      <c r="BR22" s="389"/>
      <c r="BS22" s="389"/>
      <c r="BT22" s="389"/>
      <c r="BU22" s="389"/>
      <c r="BV22" s="389"/>
      <c r="BW22" s="389"/>
      <c r="BX22" s="389"/>
      <c r="BY22" s="389"/>
      <c r="BZ22" s="389"/>
      <c r="CA22" s="389"/>
      <c r="CB22" s="389"/>
      <c r="CC22" s="389"/>
      <c r="CD22" s="389"/>
      <c r="CE22" s="389"/>
      <c r="CF22" s="389"/>
      <c r="CG22" s="389"/>
      <c r="CH22" s="389"/>
      <c r="CI22" s="389"/>
      <c r="CJ22" s="389"/>
      <c r="CK22" s="389"/>
      <c r="CL22" s="389"/>
      <c r="CM22" s="389"/>
      <c r="CN22" s="389"/>
      <c r="CO22" s="389"/>
      <c r="CP22" s="389"/>
      <c r="CQ22" s="389"/>
      <c r="CR22" s="389"/>
      <c r="CS22" s="389"/>
      <c r="CT22" s="389"/>
      <c r="CU22" s="389"/>
      <c r="CV22" s="389"/>
      <c r="CW22" s="389"/>
      <c r="CX22" s="389"/>
      <c r="CY22" s="389"/>
      <c r="CZ22" s="389"/>
      <c r="DA22" s="389"/>
      <c r="DB22" s="389"/>
      <c r="DC22" s="389"/>
      <c r="DD22" s="389"/>
      <c r="DE22" s="389"/>
      <c r="DF22" s="389"/>
      <c r="DG22" s="389"/>
      <c r="DH22" s="389"/>
      <c r="DI22" s="389"/>
      <c r="DJ22" s="389"/>
      <c r="DK22" s="389"/>
      <c r="DL22" s="389"/>
      <c r="DM22" s="389"/>
      <c r="DN22" s="389"/>
      <c r="DO22" s="389"/>
      <c r="DP22" s="389"/>
      <c r="DQ22" s="389"/>
      <c r="DR22" s="389"/>
      <c r="DS22" s="389"/>
      <c r="DT22" s="389"/>
      <c r="DU22" s="389"/>
      <c r="DV22" s="389"/>
      <c r="DW22" s="389"/>
      <c r="DX22" s="389"/>
      <c r="DY22" s="389"/>
      <c r="DZ22" s="389"/>
      <c r="EA22" s="389"/>
      <c r="EB22" s="389"/>
      <c r="EC22" s="389"/>
      <c r="ED22" s="389"/>
      <c r="EE22" s="389"/>
      <c r="EF22" s="389"/>
      <c r="EG22" s="389"/>
      <c r="EH22" s="389"/>
      <c r="EI22" s="389"/>
      <c r="EJ22" s="389"/>
      <c r="EK22" s="389"/>
      <c r="EL22" s="389"/>
      <c r="EM22" s="389"/>
      <c r="EN22" s="389"/>
      <c r="EO22" s="389"/>
      <c r="EP22" s="389"/>
      <c r="EQ22" s="389"/>
      <c r="ER22" s="389"/>
      <c r="ES22" s="389"/>
      <c r="ET22" s="389"/>
      <c r="EU22" s="389"/>
      <c r="EV22" s="389"/>
      <c r="EW22" s="389"/>
      <c r="EX22" s="389"/>
      <c r="EY22" s="389"/>
      <c r="EZ22" s="389"/>
      <c r="FA22" s="389"/>
      <c r="FB22" s="389"/>
      <c r="FC22" s="389"/>
      <c r="FD22" s="389"/>
      <c r="FE22" s="389"/>
      <c r="FF22" s="389"/>
      <c r="FG22" s="389"/>
      <c r="FH22" s="389"/>
      <c r="FI22" s="389"/>
      <c r="FJ22" s="389"/>
      <c r="FK22" s="389"/>
      <c r="FL22" s="389"/>
      <c r="FM22" s="389"/>
      <c r="FN22" s="389"/>
      <c r="FO22" s="389"/>
      <c r="FP22" s="389"/>
      <c r="FQ22" s="389"/>
      <c r="FR22" s="389"/>
      <c r="FS22" s="389"/>
      <c r="FT22" s="389"/>
      <c r="FU22" s="389"/>
      <c r="FV22" s="389"/>
      <c r="FW22" s="389"/>
      <c r="FX22" s="389"/>
      <c r="FY22" s="389"/>
      <c r="FZ22" s="389"/>
      <c r="GA22" s="389"/>
      <c r="GB22" s="389"/>
      <c r="GC22" s="389"/>
      <c r="GD22" s="389"/>
      <c r="GE22" s="389"/>
      <c r="GF22" s="389"/>
      <c r="GG22" s="389"/>
      <c r="GH22" s="389"/>
      <c r="GI22" s="389"/>
      <c r="GJ22" s="389"/>
      <c r="GK22" s="389"/>
      <c r="GL22" s="389"/>
      <c r="GM22" s="389"/>
      <c r="GN22" s="389"/>
      <c r="GO22" s="389"/>
      <c r="GP22" s="389"/>
      <c r="GQ22" s="389"/>
      <c r="GR22" s="389"/>
      <c r="GS22" s="389"/>
      <c r="GT22" s="389"/>
      <c r="GU22" s="389"/>
      <c r="GV22" s="389"/>
      <c r="GW22" s="389"/>
      <c r="GX22" s="389"/>
      <c r="GY22" s="389"/>
      <c r="GZ22" s="389"/>
      <c r="HA22" s="389"/>
      <c r="HB22" s="389"/>
      <c r="HC22" s="389"/>
      <c r="HD22" s="389"/>
      <c r="HE22" s="389"/>
      <c r="HF22" s="389"/>
      <c r="HG22" s="389"/>
      <c r="HH22" s="389"/>
      <c r="HI22" s="389"/>
      <c r="HJ22" s="389"/>
      <c r="HK22" s="389"/>
      <c r="HL22" s="389"/>
      <c r="HM22" s="389"/>
      <c r="HN22" s="389"/>
      <c r="HO22" s="389"/>
      <c r="HP22" s="389"/>
      <c r="HQ22" s="389"/>
      <c r="HR22" s="389"/>
      <c r="HS22" s="389"/>
      <c r="HT22" s="389"/>
      <c r="HU22" s="389"/>
      <c r="HV22" s="389"/>
      <c r="HW22" s="389"/>
      <c r="HX22" s="389"/>
      <c r="HY22" s="389"/>
      <c r="HZ22" s="389"/>
      <c r="IA22" s="389"/>
      <c r="IB22" s="389"/>
      <c r="IC22" s="389"/>
      <c r="ID22" s="389"/>
      <c r="IE22" s="389"/>
      <c r="IF22" s="389"/>
      <c r="IG22" s="389"/>
      <c r="IH22" s="389"/>
      <c r="II22" s="389"/>
      <c r="IJ22" s="389"/>
      <c r="IK22" s="389"/>
      <c r="IL22" s="389"/>
      <c r="IM22" s="389"/>
      <c r="IN22" s="389"/>
      <c r="IO22" s="389"/>
      <c r="IP22" s="389"/>
      <c r="IQ22" s="389"/>
      <c r="IR22" s="389"/>
      <c r="IS22" s="389"/>
      <c r="IT22" s="389"/>
      <c r="IU22" s="389"/>
      <c r="IV22" s="389"/>
    </row>
    <row r="23" spans="1:256" ht="27.6" customHeight="1" x14ac:dyDescent="0.2">
      <c r="A23" s="3">
        <v>1</v>
      </c>
      <c r="B23" s="329" t="s">
        <v>31</v>
      </c>
      <c r="C23" s="329"/>
      <c r="D23" s="329"/>
      <c r="E23" s="329"/>
      <c r="F23" s="329"/>
      <c r="G23" s="329"/>
      <c r="H23" s="390" t="s">
        <v>32</v>
      </c>
      <c r="I23" s="390"/>
    </row>
    <row r="24" spans="1:256" ht="19.5" customHeight="1" x14ac:dyDescent="0.2">
      <c r="A24" s="10">
        <v>2</v>
      </c>
      <c r="B24" s="378" t="s">
        <v>33</v>
      </c>
      <c r="C24" s="378"/>
      <c r="D24" s="378"/>
      <c r="E24" s="378"/>
      <c r="F24" s="378"/>
      <c r="G24" s="378"/>
      <c r="H24" s="391" t="s">
        <v>34</v>
      </c>
      <c r="I24" s="391"/>
    </row>
    <row r="25" spans="1:256" ht="15.75" customHeight="1" x14ac:dyDescent="0.2">
      <c r="A25" s="3">
        <v>3</v>
      </c>
      <c r="B25" s="329" t="s">
        <v>35</v>
      </c>
      <c r="C25" s="329"/>
      <c r="D25" s="329"/>
      <c r="E25" s="329"/>
      <c r="F25" s="329"/>
      <c r="G25" s="329"/>
      <c r="H25" s="386">
        <v>1977.8</v>
      </c>
      <c r="I25" s="386"/>
      <c r="J25" s="156"/>
      <c r="K25" s="156"/>
    </row>
    <row r="26" spans="1:256" ht="15.75" customHeight="1" x14ac:dyDescent="0.2">
      <c r="A26" s="3">
        <v>4</v>
      </c>
      <c r="B26" s="329" t="s">
        <v>36</v>
      </c>
      <c r="C26" s="329"/>
      <c r="D26" s="329"/>
      <c r="E26" s="329"/>
      <c r="F26" s="329"/>
      <c r="G26" s="329"/>
      <c r="H26" s="387" t="s">
        <v>37</v>
      </c>
      <c r="I26" s="387"/>
    </row>
    <row r="27" spans="1:256" ht="15.75" customHeight="1" x14ac:dyDescent="0.2">
      <c r="A27" s="3">
        <v>5</v>
      </c>
      <c r="B27" s="329" t="s">
        <v>38</v>
      </c>
      <c r="C27" s="329"/>
      <c r="D27" s="329"/>
      <c r="E27" s="329"/>
      <c r="F27" s="329"/>
      <c r="G27" s="329"/>
      <c r="H27" s="388" t="s">
        <v>445</v>
      </c>
      <c r="I27" s="388"/>
    </row>
    <row r="28" spans="1:256" ht="27.6" customHeight="1" x14ac:dyDescent="0.2">
      <c r="A28" s="11">
        <v>6</v>
      </c>
      <c r="B28" s="363" t="s">
        <v>39</v>
      </c>
      <c r="C28" s="363"/>
      <c r="D28" s="363"/>
      <c r="E28" s="363"/>
      <c r="F28" s="363"/>
      <c r="G28" s="363"/>
      <c r="H28" s="382">
        <f>ROUND((H25/220),2)</f>
        <v>8.99</v>
      </c>
      <c r="I28" s="382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ht="23.25" customHeight="1" x14ac:dyDescent="0.2">
      <c r="A29" s="11">
        <v>7</v>
      </c>
      <c r="B29" s="363" t="s">
        <v>40</v>
      </c>
      <c r="C29" s="363"/>
      <c r="D29" s="363"/>
      <c r="E29" s="363"/>
      <c r="F29" s="363"/>
      <c r="G29" s="363"/>
      <c r="H29" s="385">
        <f>TRUNC(H28*1.5,2)</f>
        <v>13.48</v>
      </c>
      <c r="I29" s="385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ht="26.25" customHeight="1" x14ac:dyDescent="0.2">
      <c r="A30" s="11">
        <v>8</v>
      </c>
      <c r="B30" s="363" t="s">
        <v>41</v>
      </c>
      <c r="C30" s="363"/>
      <c r="D30" s="363"/>
      <c r="E30" s="363"/>
      <c r="F30" s="363"/>
      <c r="G30" s="363"/>
      <c r="H30" s="382">
        <f>ROUND(H28*0.2,2)</f>
        <v>1.8</v>
      </c>
      <c r="I30" s="382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ht="16.5" customHeight="1" x14ac:dyDescent="0.2">
      <c r="A31" s="11">
        <v>9</v>
      </c>
      <c r="B31" s="363" t="s">
        <v>42</v>
      </c>
      <c r="C31" s="363"/>
      <c r="D31" s="363"/>
      <c r="E31" s="363"/>
      <c r="F31" s="363"/>
      <c r="G31" s="363"/>
      <c r="H31" s="382">
        <f>ROUND(H28/6,2)</f>
        <v>1.5</v>
      </c>
      <c r="I31" s="382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ht="15.75" customHeight="1" x14ac:dyDescent="0.2">
      <c r="A32" s="11">
        <v>10</v>
      </c>
      <c r="B32" s="383" t="s">
        <v>43</v>
      </c>
      <c r="C32" s="383"/>
      <c r="D32" s="383"/>
      <c r="E32" s="383"/>
      <c r="F32" s="383"/>
      <c r="G32" s="383"/>
      <c r="H32" s="384">
        <v>2</v>
      </c>
      <c r="I32" s="384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12" ht="9" customHeight="1" x14ac:dyDescent="0.2">
      <c r="A33" s="360"/>
      <c r="B33" s="360"/>
      <c r="C33" s="360"/>
      <c r="D33" s="360"/>
      <c r="E33" s="360"/>
      <c r="F33" s="360"/>
      <c r="G33" s="360"/>
      <c r="H33" s="360"/>
      <c r="I33" s="360"/>
    </row>
    <row r="34" spans="1:12" ht="24.75" customHeight="1" x14ac:dyDescent="0.2">
      <c r="A34" s="361" t="s">
        <v>44</v>
      </c>
      <c r="B34" s="361"/>
      <c r="C34" s="361"/>
      <c r="D34" s="361"/>
      <c r="E34" s="361"/>
      <c r="F34" s="361"/>
      <c r="G34" s="361"/>
      <c r="H34" s="361"/>
      <c r="I34" s="361"/>
    </row>
    <row r="35" spans="1:12" ht="9" customHeight="1" x14ac:dyDescent="0.2">
      <c r="A35" s="380"/>
      <c r="B35" s="380"/>
      <c r="C35" s="380"/>
      <c r="D35" s="380"/>
      <c r="E35" s="380"/>
      <c r="F35" s="380"/>
      <c r="G35" s="380"/>
      <c r="H35" s="380"/>
      <c r="I35" s="380"/>
    </row>
    <row r="36" spans="1:12" ht="20.25" customHeight="1" x14ac:dyDescent="0.2">
      <c r="A36" s="381" t="s">
        <v>45</v>
      </c>
      <c r="B36" s="381"/>
      <c r="C36" s="381"/>
      <c r="D36" s="381"/>
      <c r="E36" s="381"/>
      <c r="F36" s="381"/>
      <c r="G36" s="381"/>
      <c r="H36" s="381"/>
      <c r="I36" s="381"/>
    </row>
    <row r="37" spans="1:12" s="15" customFormat="1" ht="30.4" customHeight="1" x14ac:dyDescent="0.2">
      <c r="A37" s="12">
        <v>1</v>
      </c>
      <c r="B37" s="327" t="s">
        <v>46</v>
      </c>
      <c r="C37" s="327"/>
      <c r="D37" s="327"/>
      <c r="E37" s="327"/>
      <c r="F37" s="327"/>
      <c r="G37" s="327"/>
      <c r="H37" s="14" t="s">
        <v>47</v>
      </c>
      <c r="I37" s="12" t="s">
        <v>48</v>
      </c>
    </row>
    <row r="38" spans="1:12" ht="15.75" customHeight="1" x14ac:dyDescent="0.2">
      <c r="A38" s="3" t="s">
        <v>13</v>
      </c>
      <c r="B38" s="329" t="s">
        <v>459</v>
      </c>
      <c r="C38" s="329"/>
      <c r="D38" s="329"/>
      <c r="E38" s="329"/>
      <c r="F38" s="329"/>
      <c r="G38" s="329"/>
      <c r="H38" s="329"/>
      <c r="I38" s="16">
        <f>H25*H32</f>
        <v>3955.6</v>
      </c>
    </row>
    <row r="39" spans="1:12" ht="29.25" customHeight="1" x14ac:dyDescent="0.2">
      <c r="A39" s="3" t="s">
        <v>15</v>
      </c>
      <c r="B39" s="329" t="s">
        <v>458</v>
      </c>
      <c r="C39" s="329"/>
      <c r="D39" s="329"/>
      <c r="E39" s="329"/>
      <c r="F39" s="329"/>
      <c r="G39" s="329"/>
      <c r="H39" s="329"/>
      <c r="I39" s="16">
        <f>ROUND($H$31*H32*15,2)</f>
        <v>45</v>
      </c>
    </row>
    <row r="40" spans="1:12" ht="40.5" customHeight="1" x14ac:dyDescent="0.2">
      <c r="A40" s="3" t="s">
        <v>17</v>
      </c>
      <c r="B40" s="329" t="s">
        <v>460</v>
      </c>
      <c r="C40" s="329"/>
      <c r="D40" s="329"/>
      <c r="E40" s="329"/>
      <c r="F40" s="329"/>
      <c r="G40" s="329"/>
      <c r="H40" s="329"/>
      <c r="I40" s="16">
        <f>ROUND(SUM(I39:I39)*0.2,2)</f>
        <v>9</v>
      </c>
    </row>
    <row r="41" spans="1:12" ht="26.25" customHeight="1" x14ac:dyDescent="0.2">
      <c r="A41" s="3" t="s">
        <v>19</v>
      </c>
      <c r="B41" s="379" t="s">
        <v>450</v>
      </c>
      <c r="C41" s="379"/>
      <c r="D41" s="379"/>
      <c r="E41" s="379"/>
      <c r="F41" s="379"/>
      <c r="G41" s="379"/>
      <c r="H41" s="17">
        <v>0.3</v>
      </c>
      <c r="I41" s="16">
        <f>ROUND(H41*SUM(I38:I40),2)</f>
        <v>1202.8800000000001</v>
      </c>
    </row>
    <row r="42" spans="1:12" ht="15.75" customHeight="1" x14ac:dyDescent="0.2">
      <c r="A42" s="3" t="s">
        <v>49</v>
      </c>
      <c r="B42" s="329" t="s">
        <v>52</v>
      </c>
      <c r="C42" s="329"/>
      <c r="D42" s="329"/>
      <c r="E42" s="329"/>
      <c r="F42" s="329"/>
      <c r="G42" s="329"/>
      <c r="H42" s="329"/>
      <c r="I42" s="18" t="s">
        <v>24</v>
      </c>
      <c r="L42" s="19"/>
    </row>
    <row r="43" spans="1:12" ht="33.4" customHeight="1" x14ac:dyDescent="0.2">
      <c r="A43" s="415" t="s">
        <v>163</v>
      </c>
      <c r="B43" s="415"/>
      <c r="C43" s="415"/>
      <c r="D43" s="415"/>
      <c r="E43" s="415"/>
      <c r="F43" s="415"/>
      <c r="G43" s="415"/>
      <c r="H43" s="415"/>
      <c r="I43" s="99">
        <f>SUM(I38:I42)</f>
        <v>5212.4799999999996</v>
      </c>
    </row>
    <row r="44" spans="1:12" ht="11.25" customHeight="1" x14ac:dyDescent="0.2">
      <c r="A44" s="376"/>
      <c r="B44" s="376"/>
      <c r="C44" s="376"/>
      <c r="D44" s="376"/>
      <c r="E44" s="376"/>
      <c r="F44" s="376"/>
      <c r="G44" s="376"/>
      <c r="H44" s="376"/>
      <c r="I44" s="376"/>
    </row>
    <row r="45" spans="1:12" ht="28.5" customHeight="1" x14ac:dyDescent="0.2">
      <c r="A45" s="100" t="s">
        <v>50</v>
      </c>
      <c r="B45" s="416" t="s">
        <v>452</v>
      </c>
      <c r="C45" s="416"/>
      <c r="D45" s="416"/>
      <c r="E45" s="416"/>
      <c r="F45" s="416"/>
      <c r="G45" s="416"/>
      <c r="H45" s="416"/>
      <c r="I45" s="101">
        <f>ROUND(H29*15*H32*0.5,2)</f>
        <v>202.2</v>
      </c>
    </row>
    <row r="46" spans="1:12" ht="41.1" customHeight="1" x14ac:dyDescent="0.2">
      <c r="A46" s="374" t="s">
        <v>225</v>
      </c>
      <c r="B46" s="374"/>
      <c r="C46" s="374"/>
      <c r="D46" s="374"/>
      <c r="E46" s="374"/>
      <c r="F46" s="374"/>
      <c r="G46" s="374"/>
      <c r="H46" s="374"/>
      <c r="I46" s="20">
        <f>I45</f>
        <v>202.2</v>
      </c>
    </row>
    <row r="47" spans="1:12" ht="11.25" customHeight="1" x14ac:dyDescent="0.2">
      <c r="A47" s="362"/>
      <c r="B47" s="362"/>
      <c r="C47" s="362"/>
      <c r="D47" s="362"/>
      <c r="E47" s="362"/>
      <c r="F47" s="362"/>
      <c r="G47" s="362"/>
      <c r="H47" s="362"/>
      <c r="I47" s="362"/>
    </row>
    <row r="48" spans="1:12" ht="46.5" customHeight="1" x14ac:dyDescent="0.2">
      <c r="A48" s="411" t="s">
        <v>164</v>
      </c>
      <c r="B48" s="411"/>
      <c r="C48" s="411"/>
      <c r="D48" s="411"/>
      <c r="E48" s="411"/>
      <c r="F48" s="411"/>
      <c r="G48" s="411"/>
      <c r="H48" s="411"/>
      <c r="I48" s="21">
        <f>I43+I46</f>
        <v>5414.6799999999994</v>
      </c>
    </row>
    <row r="49" spans="1:9" ht="6.75" customHeight="1" x14ac:dyDescent="0.2">
      <c r="A49" s="376"/>
      <c r="B49" s="376"/>
      <c r="C49" s="376"/>
      <c r="D49" s="376"/>
      <c r="E49" s="376"/>
      <c r="F49" s="376"/>
      <c r="G49" s="376"/>
      <c r="H49" s="376"/>
      <c r="I49" s="376"/>
    </row>
    <row r="50" spans="1:9" ht="17.25" customHeight="1" x14ac:dyDescent="0.2">
      <c r="A50" s="377" t="s">
        <v>54</v>
      </c>
      <c r="B50" s="377"/>
      <c r="C50" s="377"/>
      <c r="D50" s="377"/>
      <c r="E50" s="377"/>
      <c r="F50" s="377"/>
      <c r="G50" s="377"/>
      <c r="H50" s="377"/>
      <c r="I50" s="377"/>
    </row>
    <row r="51" spans="1:9" ht="6.75" customHeight="1" x14ac:dyDescent="0.2">
      <c r="A51" s="376"/>
      <c r="B51" s="376"/>
      <c r="C51" s="376"/>
      <c r="D51" s="376"/>
      <c r="E51" s="376"/>
      <c r="F51" s="376"/>
      <c r="G51" s="376"/>
      <c r="H51" s="376"/>
      <c r="I51" s="376"/>
    </row>
    <row r="52" spans="1:9" ht="22.9" customHeight="1" x14ac:dyDescent="0.2">
      <c r="A52" s="330" t="s">
        <v>55</v>
      </c>
      <c r="B52" s="330"/>
      <c r="C52" s="330"/>
      <c r="D52" s="330"/>
      <c r="E52" s="330"/>
      <c r="F52" s="330"/>
      <c r="G52" s="330"/>
      <c r="H52" s="330"/>
      <c r="I52" s="330"/>
    </row>
    <row r="53" spans="1:9" ht="19.5" customHeight="1" x14ac:dyDescent="0.2">
      <c r="A53" s="369" t="s">
        <v>165</v>
      </c>
      <c r="B53" s="369"/>
      <c r="C53" s="369"/>
      <c r="D53" s="369"/>
      <c r="E53" s="369"/>
      <c r="F53" s="369"/>
      <c r="G53" s="369"/>
      <c r="H53" s="369"/>
      <c r="I53" s="369"/>
    </row>
    <row r="54" spans="1:9" ht="18.75" customHeight="1" x14ac:dyDescent="0.2">
      <c r="A54" s="22" t="s">
        <v>56</v>
      </c>
      <c r="B54" s="370" t="s">
        <v>166</v>
      </c>
      <c r="C54" s="370"/>
      <c r="D54" s="370"/>
      <c r="E54" s="370"/>
      <c r="F54" s="370"/>
      <c r="G54" s="370"/>
      <c r="H54" s="370"/>
      <c r="I54" s="23" t="s">
        <v>57</v>
      </c>
    </row>
    <row r="55" spans="1:9" ht="24.75" customHeight="1" x14ac:dyDescent="0.2">
      <c r="A55" s="24" t="s">
        <v>13</v>
      </c>
      <c r="B55" s="410" t="s">
        <v>167</v>
      </c>
      <c r="C55" s="410"/>
      <c r="D55" s="410"/>
      <c r="E55" s="410"/>
      <c r="F55" s="410"/>
      <c r="G55" s="410"/>
      <c r="H55" s="102">
        <v>8.3299999999999999E-2</v>
      </c>
      <c r="I55" s="103">
        <f>ROUND($I$43*H55,2)</f>
        <v>434.2</v>
      </c>
    </row>
    <row r="56" spans="1:9" ht="100.15" customHeight="1" x14ac:dyDescent="0.2">
      <c r="A56" s="24" t="s">
        <v>15</v>
      </c>
      <c r="B56" s="371" t="s">
        <v>168</v>
      </c>
      <c r="C56" s="371"/>
      <c r="D56" s="371"/>
      <c r="E56" s="371"/>
      <c r="F56" s="371"/>
      <c r="G56" s="371"/>
      <c r="H56" s="104">
        <v>3.0249999999999999E-2</v>
      </c>
      <c r="I56" s="103">
        <f>ROUND($I$43*H56,2)</f>
        <v>157.68</v>
      </c>
    </row>
    <row r="57" spans="1:9" ht="16.5" customHeight="1" x14ac:dyDescent="0.2">
      <c r="A57" s="365" t="s">
        <v>58</v>
      </c>
      <c r="B57" s="365"/>
      <c r="C57" s="365"/>
      <c r="D57" s="365"/>
      <c r="E57" s="365"/>
      <c r="F57" s="365"/>
      <c r="G57" s="365"/>
      <c r="H57" s="365"/>
      <c r="I57" s="25">
        <f>SUM(I55+I56)</f>
        <v>591.88</v>
      </c>
    </row>
    <row r="58" spans="1:9" ht="60" customHeight="1" x14ac:dyDescent="0.2">
      <c r="A58" s="352" t="s">
        <v>234</v>
      </c>
      <c r="B58" s="352"/>
      <c r="C58" s="352"/>
      <c r="D58" s="352"/>
      <c r="E58" s="352"/>
      <c r="F58" s="352"/>
      <c r="G58" s="352"/>
      <c r="H58" s="352"/>
      <c r="I58" s="352"/>
    </row>
    <row r="59" spans="1:9" s="26" customFormat="1" ht="8.25" customHeight="1" x14ac:dyDescent="0.2">
      <c r="A59" s="412"/>
      <c r="B59" s="412"/>
      <c r="C59" s="412"/>
      <c r="D59" s="412"/>
      <c r="E59" s="412"/>
      <c r="F59" s="412"/>
      <c r="G59" s="412"/>
      <c r="H59" s="412"/>
      <c r="I59" s="412"/>
    </row>
    <row r="60" spans="1:9" s="26" customFormat="1" ht="29.25" customHeight="1" x14ac:dyDescent="0.2">
      <c r="A60" s="367" t="s">
        <v>169</v>
      </c>
      <c r="B60" s="367"/>
      <c r="C60" s="367"/>
      <c r="D60" s="367"/>
      <c r="E60" s="367"/>
      <c r="F60" s="367"/>
      <c r="G60" s="367"/>
      <c r="H60" s="367"/>
      <c r="I60" s="367"/>
    </row>
    <row r="61" spans="1:9" s="26" customFormat="1" ht="26.25" customHeight="1" x14ac:dyDescent="0.2">
      <c r="A61" s="27" t="s">
        <v>59</v>
      </c>
      <c r="B61" s="355" t="s">
        <v>60</v>
      </c>
      <c r="C61" s="355"/>
      <c r="D61" s="355"/>
      <c r="E61" s="355"/>
      <c r="F61" s="355"/>
      <c r="G61" s="355"/>
      <c r="H61" s="5" t="s">
        <v>47</v>
      </c>
      <c r="I61" s="13" t="s">
        <v>61</v>
      </c>
    </row>
    <row r="62" spans="1:9" s="26" customFormat="1" ht="16.5" customHeight="1" x14ac:dyDescent="0.2">
      <c r="A62" s="29" t="s">
        <v>13</v>
      </c>
      <c r="B62" s="317" t="s">
        <v>62</v>
      </c>
      <c r="C62" s="317"/>
      <c r="D62" s="317"/>
      <c r="E62" s="317"/>
      <c r="F62" s="317"/>
      <c r="G62" s="317"/>
      <c r="H62" s="30">
        <v>0.2</v>
      </c>
      <c r="I62" s="31">
        <f>ROUND(($I$43+$I$57+$I$46)*H62,2)</f>
        <v>1201.31</v>
      </c>
    </row>
    <row r="63" spans="1:9" s="26" customFormat="1" ht="19.5" customHeight="1" x14ac:dyDescent="0.2">
      <c r="A63" s="29" t="s">
        <v>15</v>
      </c>
      <c r="B63" s="317" t="s">
        <v>63</v>
      </c>
      <c r="C63" s="317"/>
      <c r="D63" s="317"/>
      <c r="E63" s="317"/>
      <c r="F63" s="317"/>
      <c r="G63" s="317"/>
      <c r="H63" s="32">
        <v>2.5000000000000001E-2</v>
      </c>
      <c r="I63" s="31">
        <f t="shared" ref="I63:I69" si="0">ROUND(($I$43+$I$57+$I$46)*H63,2)</f>
        <v>150.16</v>
      </c>
    </row>
    <row r="64" spans="1:9" s="26" customFormat="1" ht="48" customHeight="1" x14ac:dyDescent="0.2">
      <c r="A64" s="29" t="s">
        <v>17</v>
      </c>
      <c r="B64" s="329" t="s">
        <v>170</v>
      </c>
      <c r="C64" s="329"/>
      <c r="D64" s="33" t="s">
        <v>64</v>
      </c>
      <c r="E64" s="236">
        <v>0.03</v>
      </c>
      <c r="F64" s="33" t="s">
        <v>65</v>
      </c>
      <c r="G64" s="237">
        <v>1</v>
      </c>
      <c r="H64" s="34">
        <f>ROUND((E64*G64),6)</f>
        <v>0.03</v>
      </c>
      <c r="I64" s="31">
        <f t="shared" si="0"/>
        <v>180.2</v>
      </c>
    </row>
    <row r="65" spans="1:9" s="26" customFormat="1" ht="15.75" customHeight="1" x14ac:dyDescent="0.2">
      <c r="A65" s="29" t="s">
        <v>19</v>
      </c>
      <c r="B65" s="317" t="s">
        <v>66</v>
      </c>
      <c r="C65" s="317"/>
      <c r="D65" s="317"/>
      <c r="E65" s="317"/>
      <c r="F65" s="317"/>
      <c r="G65" s="317"/>
      <c r="H65" s="30">
        <v>1.4999999999999999E-2</v>
      </c>
      <c r="I65" s="31">
        <f t="shared" si="0"/>
        <v>90.1</v>
      </c>
    </row>
    <row r="66" spans="1:9" s="26" customFormat="1" ht="15.75" customHeight="1" x14ac:dyDescent="0.2">
      <c r="A66" s="29" t="s">
        <v>49</v>
      </c>
      <c r="B66" s="317" t="s">
        <v>67</v>
      </c>
      <c r="C66" s="317"/>
      <c r="D66" s="317"/>
      <c r="E66" s="317"/>
      <c r="F66" s="317"/>
      <c r="G66" s="317"/>
      <c r="H66" s="30">
        <v>0.01</v>
      </c>
      <c r="I66" s="31">
        <f t="shared" si="0"/>
        <v>60.07</v>
      </c>
    </row>
    <row r="67" spans="1:9" ht="15.75" customHeight="1" x14ac:dyDescent="0.2">
      <c r="A67" s="29" t="s">
        <v>50</v>
      </c>
      <c r="B67" s="329" t="s">
        <v>68</v>
      </c>
      <c r="C67" s="329"/>
      <c r="D67" s="329"/>
      <c r="E67" s="329"/>
      <c r="F67" s="329"/>
      <c r="G67" s="329"/>
      <c r="H67" s="32">
        <v>6.0000000000000001E-3</v>
      </c>
      <c r="I67" s="31">
        <f t="shared" si="0"/>
        <v>36.04</v>
      </c>
    </row>
    <row r="68" spans="1:9" ht="15.75" customHeight="1" x14ac:dyDescent="0.2">
      <c r="A68" s="29" t="s">
        <v>51</v>
      </c>
      <c r="B68" s="317" t="s">
        <v>69</v>
      </c>
      <c r="C68" s="317"/>
      <c r="D68" s="317"/>
      <c r="E68" s="317"/>
      <c r="F68" s="317"/>
      <c r="G68" s="317"/>
      <c r="H68" s="30">
        <v>2E-3</v>
      </c>
      <c r="I68" s="31">
        <f t="shared" si="0"/>
        <v>12.01</v>
      </c>
    </row>
    <row r="69" spans="1:9" ht="12.75" customHeight="1" x14ac:dyDescent="0.2">
      <c r="A69" s="29" t="s">
        <v>53</v>
      </c>
      <c r="B69" s="329" t="s">
        <v>70</v>
      </c>
      <c r="C69" s="329"/>
      <c r="D69" s="329"/>
      <c r="E69" s="329"/>
      <c r="F69" s="329"/>
      <c r="G69" s="329"/>
      <c r="H69" s="32">
        <v>0.08</v>
      </c>
      <c r="I69" s="31">
        <f t="shared" si="0"/>
        <v>480.52</v>
      </c>
    </row>
    <row r="70" spans="1:9" ht="18" customHeight="1" x14ac:dyDescent="0.2">
      <c r="A70" s="308" t="s">
        <v>58</v>
      </c>
      <c r="B70" s="308"/>
      <c r="C70" s="308"/>
      <c r="D70" s="308"/>
      <c r="E70" s="308"/>
      <c r="F70" s="308"/>
      <c r="G70" s="308"/>
      <c r="H70" s="35">
        <f>SUM(H62:H69)</f>
        <v>0.36800000000000005</v>
      </c>
      <c r="I70" s="36">
        <f>SUM(I62:I69)</f>
        <v>2210.41</v>
      </c>
    </row>
    <row r="71" spans="1:9" ht="9.75" customHeight="1" x14ac:dyDescent="0.2">
      <c r="A71" s="37"/>
      <c r="B71" s="38"/>
      <c r="C71" s="38"/>
      <c r="D71" s="38"/>
      <c r="E71" s="38"/>
      <c r="F71" s="38"/>
      <c r="G71" s="38"/>
      <c r="H71" s="39"/>
      <c r="I71" s="40"/>
    </row>
    <row r="72" spans="1:9" ht="39" customHeight="1" x14ac:dyDescent="0.2">
      <c r="A72" s="361" t="s">
        <v>71</v>
      </c>
      <c r="B72" s="361"/>
      <c r="C72" s="361"/>
      <c r="D72" s="361"/>
      <c r="E72" s="361"/>
      <c r="F72" s="361"/>
      <c r="G72" s="361"/>
      <c r="H72" s="361"/>
      <c r="I72" s="361"/>
    </row>
    <row r="73" spans="1:9" ht="8.25" customHeight="1" x14ac:dyDescent="0.2">
      <c r="A73" s="360"/>
      <c r="B73" s="360"/>
      <c r="C73" s="360"/>
      <c r="D73" s="360"/>
      <c r="E73" s="360"/>
      <c r="F73" s="360"/>
      <c r="G73" s="360"/>
      <c r="H73" s="360"/>
      <c r="I73" s="360"/>
    </row>
    <row r="74" spans="1:9" ht="23.65" customHeight="1" x14ac:dyDescent="0.2">
      <c r="A74" s="335" t="s">
        <v>72</v>
      </c>
      <c r="B74" s="335"/>
      <c r="C74" s="335"/>
      <c r="D74" s="335"/>
      <c r="E74" s="335"/>
      <c r="F74" s="335"/>
      <c r="G74" s="335"/>
      <c r="H74" s="335"/>
      <c r="I74" s="335"/>
    </row>
    <row r="75" spans="1:9" ht="21.75" customHeight="1" x14ac:dyDescent="0.2">
      <c r="A75" s="41" t="s">
        <v>73</v>
      </c>
      <c r="B75" s="327" t="s">
        <v>74</v>
      </c>
      <c r="C75" s="327"/>
      <c r="D75" s="327"/>
      <c r="E75" s="327"/>
      <c r="F75" s="327"/>
      <c r="G75" s="327"/>
      <c r="H75" s="327"/>
      <c r="I75" s="13" t="s">
        <v>57</v>
      </c>
    </row>
    <row r="76" spans="1:9" ht="20.100000000000001" customHeight="1" x14ac:dyDescent="0.2">
      <c r="A76" s="42" t="s">
        <v>13</v>
      </c>
      <c r="B76" s="345" t="s">
        <v>75</v>
      </c>
      <c r="C76" s="345"/>
      <c r="D76" s="345"/>
      <c r="E76" s="345"/>
      <c r="F76" s="345"/>
      <c r="G76" s="345"/>
      <c r="H76" s="345"/>
      <c r="I76" s="43">
        <f>IF(ROUND((H77*H79*H78)-(I38*H80),2)&lt;0,0,ROUND((H77*H79*H78)-(I38*H80),2))</f>
        <v>59.66</v>
      </c>
    </row>
    <row r="77" spans="1:9" ht="25.5" customHeight="1" x14ac:dyDescent="0.2">
      <c r="A77" s="42"/>
      <c r="B77" s="345" t="s">
        <v>462</v>
      </c>
      <c r="C77" s="345"/>
      <c r="D77" s="345"/>
      <c r="E77" s="345"/>
      <c r="F77" s="345"/>
      <c r="G77" s="345"/>
      <c r="H77" s="238">
        <v>4.95</v>
      </c>
      <c r="I77" s="44" t="s">
        <v>24</v>
      </c>
    </row>
    <row r="78" spans="1:9" ht="20.100000000000001" customHeight="1" x14ac:dyDescent="0.2">
      <c r="A78" s="42"/>
      <c r="B78" s="329" t="s">
        <v>76</v>
      </c>
      <c r="C78" s="329"/>
      <c r="D78" s="329"/>
      <c r="E78" s="329"/>
      <c r="F78" s="329"/>
      <c r="G78" s="329"/>
      <c r="H78" s="45">
        <v>2</v>
      </c>
      <c r="I78" s="44" t="s">
        <v>24</v>
      </c>
    </row>
    <row r="79" spans="1:9" ht="14.65" customHeight="1" x14ac:dyDescent="0.2">
      <c r="A79" s="42"/>
      <c r="B79" s="363" t="s">
        <v>77</v>
      </c>
      <c r="C79" s="363"/>
      <c r="D79" s="363"/>
      <c r="E79" s="363"/>
      <c r="F79" s="363"/>
      <c r="G79" s="363"/>
      <c r="H79" s="46">
        <v>30</v>
      </c>
      <c r="I79" s="44"/>
    </row>
    <row r="80" spans="1:9" ht="26.1" customHeight="1" x14ac:dyDescent="0.2">
      <c r="A80" s="42"/>
      <c r="B80" s="363" t="s">
        <v>455</v>
      </c>
      <c r="C80" s="363"/>
      <c r="D80" s="363"/>
      <c r="E80" s="363"/>
      <c r="F80" s="363"/>
      <c r="G80" s="363"/>
      <c r="H80" s="47">
        <v>0.06</v>
      </c>
      <c r="I80" s="44"/>
    </row>
    <row r="81" spans="1:9" ht="15.75" customHeight="1" x14ac:dyDescent="0.2">
      <c r="A81" s="42" t="s">
        <v>15</v>
      </c>
      <c r="B81" s="345" t="s">
        <v>78</v>
      </c>
      <c r="C81" s="345"/>
      <c r="D81" s="345"/>
      <c r="E81" s="345"/>
      <c r="F81" s="345"/>
      <c r="G81" s="345"/>
      <c r="H81" s="345"/>
      <c r="I81" s="48">
        <f>ROUND(H83*H82*(1-H84),2)*1+ROUND(21.726*6*(1-H84),2)*0</f>
        <v>648</v>
      </c>
    </row>
    <row r="82" spans="1:9" ht="15.75" customHeight="1" x14ac:dyDescent="0.2">
      <c r="A82" s="42"/>
      <c r="B82" s="345" t="s">
        <v>454</v>
      </c>
      <c r="C82" s="345"/>
      <c r="D82" s="345"/>
      <c r="E82" s="345"/>
      <c r="F82" s="345"/>
      <c r="G82" s="345"/>
      <c r="H82" s="238">
        <v>27</v>
      </c>
      <c r="I82" s="44" t="s">
        <v>24</v>
      </c>
    </row>
    <row r="83" spans="1:9" ht="15.75" customHeight="1" x14ac:dyDescent="0.2">
      <c r="A83" s="42"/>
      <c r="B83" s="345" t="s">
        <v>79</v>
      </c>
      <c r="C83" s="345"/>
      <c r="D83" s="345"/>
      <c r="E83" s="345"/>
      <c r="F83" s="345"/>
      <c r="G83" s="345"/>
      <c r="H83" s="46">
        <v>30</v>
      </c>
      <c r="I83" s="44"/>
    </row>
    <row r="84" spans="1:9" ht="23.65" customHeight="1" x14ac:dyDescent="0.2">
      <c r="A84" s="42"/>
      <c r="B84" s="363" t="s">
        <v>453</v>
      </c>
      <c r="C84" s="363"/>
      <c r="D84" s="363"/>
      <c r="E84" s="363"/>
      <c r="F84" s="363"/>
      <c r="G84" s="363"/>
      <c r="H84" s="47">
        <v>0.2</v>
      </c>
      <c r="I84" s="44"/>
    </row>
    <row r="85" spans="1:9" s="26" customFormat="1" ht="19.149999999999999" customHeight="1" x14ac:dyDescent="0.2">
      <c r="A85" s="42" t="s">
        <v>17</v>
      </c>
      <c r="B85" s="345" t="s">
        <v>80</v>
      </c>
      <c r="C85" s="345"/>
      <c r="D85" s="345"/>
      <c r="E85" s="345"/>
      <c r="F85" s="345"/>
      <c r="G85" s="345"/>
      <c r="H85" s="345"/>
      <c r="I85" s="239">
        <v>0</v>
      </c>
    </row>
    <row r="86" spans="1:9" s="26" customFormat="1" ht="36.6" customHeight="1" x14ac:dyDescent="0.2">
      <c r="A86" s="42" t="s">
        <v>19</v>
      </c>
      <c r="B86" s="345" t="s">
        <v>456</v>
      </c>
      <c r="C86" s="345"/>
      <c r="D86" s="345"/>
      <c r="E86" s="345"/>
      <c r="F86" s="345"/>
      <c r="G86" s="345"/>
      <c r="H86" s="345"/>
      <c r="I86" s="239">
        <f>ROUND($I$43*26*0.00023,2)</f>
        <v>31.17</v>
      </c>
    </row>
    <row r="87" spans="1:9" s="26" customFormat="1" ht="33.6" customHeight="1" x14ac:dyDescent="0.2">
      <c r="A87" s="42" t="s">
        <v>49</v>
      </c>
      <c r="B87" s="329" t="s">
        <v>457</v>
      </c>
      <c r="C87" s="329"/>
      <c r="D87" s="329"/>
      <c r="E87" s="329"/>
      <c r="F87" s="329"/>
      <c r="G87" s="329"/>
      <c r="H87" s="329"/>
      <c r="I87" s="239">
        <f>ROUND(($I$38*0.0052066)/12,2)</f>
        <v>1.72</v>
      </c>
    </row>
    <row r="88" spans="1:9" s="26" customFormat="1" ht="15" customHeight="1" x14ac:dyDescent="0.2">
      <c r="A88" s="42" t="s">
        <v>50</v>
      </c>
      <c r="B88" s="358" t="s">
        <v>81</v>
      </c>
      <c r="C88" s="358"/>
      <c r="D88" s="358"/>
      <c r="E88" s="358"/>
      <c r="F88" s="358"/>
      <c r="G88" s="358"/>
      <c r="H88" s="358"/>
      <c r="I88" s="242">
        <v>0</v>
      </c>
    </row>
    <row r="89" spans="1:9" s="26" customFormat="1" ht="19.5" customHeight="1" x14ac:dyDescent="0.2">
      <c r="A89" s="50"/>
      <c r="B89" s="359" t="s">
        <v>58</v>
      </c>
      <c r="C89" s="359"/>
      <c r="D89" s="359"/>
      <c r="E89" s="359"/>
      <c r="F89" s="359"/>
      <c r="G89" s="359"/>
      <c r="H89" s="359"/>
      <c r="I89" s="36">
        <f>SUM(I76:I88)</f>
        <v>740.55</v>
      </c>
    </row>
    <row r="90" spans="1:9" s="26" customFormat="1" ht="14.25" customHeight="1" x14ac:dyDescent="0.2">
      <c r="A90" s="360"/>
      <c r="B90" s="360"/>
      <c r="C90" s="360"/>
      <c r="D90" s="360"/>
      <c r="E90" s="360"/>
      <c r="F90" s="360"/>
      <c r="G90" s="360"/>
      <c r="H90" s="360"/>
      <c r="I90" s="360"/>
    </row>
    <row r="91" spans="1:9" s="26" customFormat="1" ht="34.5" customHeight="1" x14ac:dyDescent="0.2">
      <c r="A91" s="361" t="s">
        <v>82</v>
      </c>
      <c r="B91" s="361"/>
      <c r="C91" s="361"/>
      <c r="D91" s="361"/>
      <c r="E91" s="361"/>
      <c r="F91" s="361"/>
      <c r="G91" s="361"/>
      <c r="H91" s="361"/>
      <c r="I91" s="361"/>
    </row>
    <row r="92" spans="1:9" s="26" customFormat="1" ht="15.75" customHeight="1" x14ac:dyDescent="0.2">
      <c r="A92" s="362"/>
      <c r="B92" s="362"/>
      <c r="C92" s="362"/>
      <c r="D92" s="362"/>
      <c r="E92" s="362"/>
      <c r="F92" s="362"/>
      <c r="G92" s="362"/>
      <c r="H92" s="362"/>
      <c r="I92" s="362"/>
    </row>
    <row r="93" spans="1:9" s="26" customFormat="1" ht="14.85" customHeight="1" x14ac:dyDescent="0.2">
      <c r="A93" s="354" t="s">
        <v>83</v>
      </c>
      <c r="B93" s="354"/>
      <c r="C93" s="354"/>
      <c r="D93" s="354"/>
      <c r="E93" s="354"/>
      <c r="F93" s="354"/>
      <c r="G93" s="354"/>
      <c r="H93" s="354"/>
      <c r="I93" s="354"/>
    </row>
    <row r="94" spans="1:9" s="26" customFormat="1" ht="14.65" customHeight="1" x14ac:dyDescent="0.2">
      <c r="A94" s="28">
        <v>2</v>
      </c>
      <c r="B94" s="355" t="s">
        <v>84</v>
      </c>
      <c r="C94" s="355"/>
      <c r="D94" s="355"/>
      <c r="E94" s="355"/>
      <c r="F94" s="355"/>
      <c r="G94" s="355"/>
      <c r="H94" s="355"/>
      <c r="I94" s="28" t="s">
        <v>57</v>
      </c>
    </row>
    <row r="95" spans="1:9" s="26" customFormat="1" ht="15.75" customHeight="1" x14ac:dyDescent="0.2">
      <c r="A95" s="51" t="s">
        <v>56</v>
      </c>
      <c r="B95" s="356" t="s">
        <v>171</v>
      </c>
      <c r="C95" s="356"/>
      <c r="D95" s="356"/>
      <c r="E95" s="356"/>
      <c r="F95" s="356"/>
      <c r="G95" s="356"/>
      <c r="H95" s="356"/>
      <c r="I95" s="52">
        <f>I57</f>
        <v>591.88</v>
      </c>
    </row>
    <row r="96" spans="1:9" s="26" customFormat="1" ht="15.75" customHeight="1" x14ac:dyDescent="0.2">
      <c r="A96" s="51" t="s">
        <v>59</v>
      </c>
      <c r="B96" s="356" t="s">
        <v>60</v>
      </c>
      <c r="C96" s="356"/>
      <c r="D96" s="356"/>
      <c r="E96" s="356"/>
      <c r="F96" s="356"/>
      <c r="G96" s="356"/>
      <c r="H96" s="356"/>
      <c r="I96" s="52">
        <f>I70</f>
        <v>2210.41</v>
      </c>
    </row>
    <row r="97" spans="1:9" s="26" customFormat="1" ht="14.25" customHeight="1" x14ac:dyDescent="0.2">
      <c r="A97" s="51" t="s">
        <v>73</v>
      </c>
      <c r="B97" s="356" t="s">
        <v>74</v>
      </c>
      <c r="C97" s="356"/>
      <c r="D97" s="356"/>
      <c r="E97" s="356"/>
      <c r="F97" s="356"/>
      <c r="G97" s="356"/>
      <c r="H97" s="356"/>
      <c r="I97" s="52">
        <f>I89</f>
        <v>740.55</v>
      </c>
    </row>
    <row r="98" spans="1:9" s="26" customFormat="1" ht="15" customHeight="1" x14ac:dyDescent="0.2">
      <c r="A98" s="357" t="s">
        <v>58</v>
      </c>
      <c r="B98" s="357"/>
      <c r="C98" s="357"/>
      <c r="D98" s="357"/>
      <c r="E98" s="357"/>
      <c r="F98" s="357"/>
      <c r="G98" s="357"/>
      <c r="H98" s="357"/>
      <c r="I98" s="53">
        <f>SUM(I95+I96+I97)</f>
        <v>3542.84</v>
      </c>
    </row>
    <row r="99" spans="1:9" s="26" customFormat="1" ht="8.25" customHeight="1" x14ac:dyDescent="0.2">
      <c r="A99" s="353"/>
      <c r="B99" s="353"/>
      <c r="C99" s="353"/>
      <c r="D99" s="353"/>
      <c r="E99" s="353"/>
      <c r="F99" s="353"/>
      <c r="G99" s="353"/>
      <c r="H99" s="353"/>
      <c r="I99" s="353"/>
    </row>
    <row r="100" spans="1:9" s="26" customFormat="1" ht="23.25" customHeight="1" x14ac:dyDescent="0.2">
      <c r="A100" s="324" t="s">
        <v>85</v>
      </c>
      <c r="B100" s="324"/>
      <c r="C100" s="324"/>
      <c r="D100" s="324"/>
      <c r="E100" s="324"/>
      <c r="F100" s="324"/>
      <c r="G100" s="324"/>
      <c r="H100" s="324"/>
      <c r="I100" s="324"/>
    </row>
    <row r="101" spans="1:9" s="26" customFormat="1" ht="15" x14ac:dyDescent="0.2">
      <c r="A101" s="41">
        <v>3</v>
      </c>
      <c r="B101" s="325" t="s">
        <v>86</v>
      </c>
      <c r="C101" s="325"/>
      <c r="D101" s="325"/>
      <c r="E101" s="325"/>
      <c r="F101" s="325"/>
      <c r="G101" s="325"/>
      <c r="H101" s="325"/>
      <c r="I101" s="41" t="s">
        <v>57</v>
      </c>
    </row>
    <row r="102" spans="1:9" s="26" customFormat="1" ht="70.150000000000006" customHeight="1" x14ac:dyDescent="0.2">
      <c r="A102" s="42" t="s">
        <v>13</v>
      </c>
      <c r="B102" s="315" t="s">
        <v>232</v>
      </c>
      <c r="C102" s="315"/>
      <c r="D102" s="315"/>
      <c r="E102" s="315"/>
      <c r="F102" s="315"/>
      <c r="G102" s="315"/>
      <c r="H102" s="315"/>
      <c r="I102" s="239">
        <f>ROUND((($I$43/12)+($I$55/12)+($I$43*0.121/12))*(30/30)*5%,2)</f>
        <v>26.16</v>
      </c>
    </row>
    <row r="103" spans="1:9" s="26" customFormat="1" ht="19.5" customHeight="1" x14ac:dyDescent="0.2">
      <c r="A103" s="42" t="s">
        <v>15</v>
      </c>
      <c r="B103" s="351" t="s">
        <v>87</v>
      </c>
      <c r="C103" s="351"/>
      <c r="D103" s="351"/>
      <c r="E103" s="351"/>
      <c r="F103" s="351"/>
      <c r="G103" s="351"/>
      <c r="H103" s="351"/>
      <c r="I103" s="31">
        <f>ROUND($H$69*I102,2)</f>
        <v>2.09</v>
      </c>
    </row>
    <row r="104" spans="1:9" s="26" customFormat="1" ht="110.1" customHeight="1" x14ac:dyDescent="0.2">
      <c r="A104" s="42" t="s">
        <v>17</v>
      </c>
      <c r="B104" s="317" t="s">
        <v>233</v>
      </c>
      <c r="C104" s="317"/>
      <c r="D104" s="317"/>
      <c r="E104" s="317"/>
      <c r="F104" s="317"/>
      <c r="G104" s="317"/>
      <c r="H104" s="317"/>
      <c r="I104" s="239">
        <f>ROUND(($I$43*(7/30)/12*(30/30))*100%,2)</f>
        <v>101.35</v>
      </c>
    </row>
    <row r="105" spans="1:9" s="26" customFormat="1" ht="15.75" customHeight="1" x14ac:dyDescent="0.2">
      <c r="A105" s="42" t="s">
        <v>19</v>
      </c>
      <c r="B105" s="351" t="s">
        <v>88</v>
      </c>
      <c r="C105" s="351"/>
      <c r="D105" s="351"/>
      <c r="E105" s="351"/>
      <c r="F105" s="351"/>
      <c r="G105" s="351"/>
      <c r="H105" s="351"/>
      <c r="I105" s="31">
        <f>ROUND($H$70*I104,2)</f>
        <v>37.299999999999997</v>
      </c>
    </row>
    <row r="106" spans="1:9" s="26" customFormat="1" ht="36.4" customHeight="1" x14ac:dyDescent="0.2">
      <c r="A106" s="42" t="s">
        <v>49</v>
      </c>
      <c r="B106" s="317" t="s">
        <v>172</v>
      </c>
      <c r="C106" s="317"/>
      <c r="D106" s="317"/>
      <c r="E106" s="317"/>
      <c r="F106" s="317"/>
      <c r="G106" s="317"/>
      <c r="H106" s="105">
        <v>0.04</v>
      </c>
      <c r="I106" s="31">
        <f>ROUND(I43*H106,2)</f>
        <v>208.5</v>
      </c>
    </row>
    <row r="107" spans="1:9" ht="16.5" customHeight="1" x14ac:dyDescent="0.2">
      <c r="A107" s="308" t="s">
        <v>89</v>
      </c>
      <c r="B107" s="308"/>
      <c r="C107" s="308"/>
      <c r="D107" s="308"/>
      <c r="E107" s="308"/>
      <c r="F107" s="308"/>
      <c r="G107" s="308"/>
      <c r="H107" s="308"/>
      <c r="I107" s="36">
        <f>SUM(I102:I106)</f>
        <v>375.4</v>
      </c>
    </row>
    <row r="108" spans="1:9" ht="7.5" customHeight="1" x14ac:dyDescent="0.2">
      <c r="A108" s="305"/>
      <c r="B108" s="305"/>
      <c r="C108" s="305"/>
      <c r="D108" s="305"/>
      <c r="E108" s="305"/>
      <c r="F108" s="305"/>
      <c r="G108" s="305"/>
      <c r="H108" s="305"/>
      <c r="I108" s="305"/>
    </row>
    <row r="109" spans="1:9" ht="21" customHeight="1" x14ac:dyDescent="0.2">
      <c r="A109" s="326" t="s">
        <v>90</v>
      </c>
      <c r="B109" s="326"/>
      <c r="C109" s="326"/>
      <c r="D109" s="326"/>
      <c r="E109" s="326"/>
      <c r="F109" s="326"/>
      <c r="G109" s="326"/>
      <c r="H109" s="326"/>
      <c r="I109" s="326"/>
    </row>
    <row r="110" spans="1:9" ht="24" customHeight="1" x14ac:dyDescent="0.2">
      <c r="A110" s="352" t="s">
        <v>91</v>
      </c>
      <c r="B110" s="352"/>
      <c r="C110" s="352"/>
      <c r="D110" s="352"/>
      <c r="E110" s="352"/>
      <c r="F110" s="352"/>
      <c r="G110" s="352"/>
      <c r="H110" s="352"/>
      <c r="I110" s="352"/>
    </row>
    <row r="111" spans="1:9" ht="54.6" customHeight="1" x14ac:dyDescent="0.2">
      <c r="A111" s="347" t="s">
        <v>173</v>
      </c>
      <c r="B111" s="347"/>
      <c r="C111" s="347"/>
      <c r="D111" s="347"/>
      <c r="E111" s="347"/>
      <c r="F111" s="347"/>
      <c r="G111" s="347"/>
      <c r="H111" s="347"/>
      <c r="I111" s="347"/>
    </row>
    <row r="112" spans="1:9" ht="6.75" customHeight="1" x14ac:dyDescent="0.2">
      <c r="A112" s="348"/>
      <c r="B112" s="348"/>
      <c r="C112" s="348"/>
      <c r="D112" s="348"/>
      <c r="E112" s="348"/>
      <c r="F112" s="348"/>
      <c r="G112" s="348"/>
      <c r="H112" s="348"/>
      <c r="I112" s="348"/>
    </row>
    <row r="113" spans="1:9" ht="53.65" customHeight="1" x14ac:dyDescent="0.2">
      <c r="A113" s="54" t="s">
        <v>92</v>
      </c>
      <c r="B113" s="55">
        <f>I43</f>
        <v>5212.4799999999996</v>
      </c>
      <c r="C113" s="106" t="s">
        <v>174</v>
      </c>
      <c r="D113" s="54" t="s">
        <v>175</v>
      </c>
      <c r="E113" s="55">
        <f>I98-I76-I81+I117</f>
        <v>3482.2900000000004</v>
      </c>
      <c r="F113" s="106" t="s">
        <v>174</v>
      </c>
      <c r="G113" s="54" t="s">
        <v>93</v>
      </c>
      <c r="H113" s="55">
        <f>I107</f>
        <v>375.4</v>
      </c>
      <c r="I113" s="56">
        <f>B113+E113+H113</f>
        <v>9070.17</v>
      </c>
    </row>
    <row r="114" spans="1:9" ht="7.5" customHeight="1" x14ac:dyDescent="0.2">
      <c r="A114" s="349"/>
      <c r="B114" s="349"/>
      <c r="C114" s="349"/>
      <c r="D114" s="349"/>
      <c r="E114" s="349"/>
      <c r="F114" s="349"/>
      <c r="G114" s="349"/>
      <c r="H114" s="349"/>
      <c r="I114" s="349"/>
    </row>
    <row r="115" spans="1:9" ht="23.25" customHeight="1" x14ac:dyDescent="0.2">
      <c r="A115" s="350" t="s">
        <v>176</v>
      </c>
      <c r="B115" s="350"/>
      <c r="C115" s="350"/>
      <c r="D115" s="350"/>
      <c r="E115" s="350"/>
      <c r="F115" s="350"/>
      <c r="G115" s="350"/>
      <c r="H115" s="350"/>
      <c r="I115" s="350"/>
    </row>
    <row r="116" spans="1:9" ht="14.25" customHeight="1" x14ac:dyDescent="0.25">
      <c r="A116" s="57" t="s">
        <v>94</v>
      </c>
      <c r="B116" s="325" t="s">
        <v>95</v>
      </c>
      <c r="C116" s="325"/>
      <c r="D116" s="325"/>
      <c r="E116" s="325"/>
      <c r="F116" s="325"/>
      <c r="G116" s="325"/>
      <c r="H116" s="325"/>
      <c r="I116" s="57" t="s">
        <v>57</v>
      </c>
    </row>
    <row r="117" spans="1:9" ht="48.6" customHeight="1" x14ac:dyDescent="0.2">
      <c r="A117" s="42" t="s">
        <v>13</v>
      </c>
      <c r="B117" s="316" t="s">
        <v>177</v>
      </c>
      <c r="C117" s="413"/>
      <c r="D117" s="413"/>
      <c r="E117" s="413"/>
      <c r="F117" s="414"/>
      <c r="G117" s="107">
        <v>9.0749999999999997E-2</v>
      </c>
      <c r="H117" s="108">
        <f>H70</f>
        <v>0.36800000000000005</v>
      </c>
      <c r="I117" s="31">
        <f>ROUND(B113*G117 + B113*G117*H117,2)</f>
        <v>647.11</v>
      </c>
    </row>
    <row r="118" spans="1:9" ht="28.15" customHeight="1" x14ac:dyDescent="0.2">
      <c r="A118" s="42" t="s">
        <v>15</v>
      </c>
      <c r="B118" s="338" t="s">
        <v>158</v>
      </c>
      <c r="C118" s="338"/>
      <c r="D118" s="338"/>
      <c r="E118" s="338"/>
      <c r="F118" s="338"/>
      <c r="G118" s="338"/>
      <c r="H118" s="338"/>
      <c r="I118" s="31">
        <f>ROUND((1/30)/12*($I$113),2)</f>
        <v>25.19</v>
      </c>
    </row>
    <row r="119" spans="1:9" ht="26.1" customHeight="1" x14ac:dyDescent="0.2">
      <c r="A119" s="42" t="s">
        <v>17</v>
      </c>
      <c r="B119" s="338" t="s">
        <v>156</v>
      </c>
      <c r="C119" s="338"/>
      <c r="D119" s="338"/>
      <c r="E119" s="338"/>
      <c r="F119" s="338"/>
      <c r="G119" s="338"/>
      <c r="H119" s="338"/>
      <c r="I119" s="31">
        <f>ROUND((5/30)/12*0.015*($I$113),2)</f>
        <v>1.89</v>
      </c>
    </row>
    <row r="120" spans="1:9" ht="27.6" customHeight="1" x14ac:dyDescent="0.2">
      <c r="A120" s="42" t="s">
        <v>19</v>
      </c>
      <c r="B120" s="339" t="s">
        <v>178</v>
      </c>
      <c r="C120" s="340"/>
      <c r="D120" s="340"/>
      <c r="E120" s="340"/>
      <c r="F120" s="340"/>
      <c r="G120" s="340"/>
      <c r="H120" s="341"/>
      <c r="I120" s="31">
        <f xml:space="preserve"> ROUND((($I$113/30)*0.69 )/12,2)</f>
        <v>17.38</v>
      </c>
    </row>
    <row r="121" spans="1:9" ht="69" customHeight="1" x14ac:dyDescent="0.2">
      <c r="A121" s="98" t="s">
        <v>49</v>
      </c>
      <c r="B121" s="342" t="s">
        <v>179</v>
      </c>
      <c r="C121" s="343"/>
      <c r="D121" s="343"/>
      <c r="E121" s="343"/>
      <c r="F121" s="343"/>
      <c r="G121" s="343"/>
      <c r="H121" s="344"/>
      <c r="I121" s="43">
        <f>ROUND(((((B113*0.121)+(H70)*(B113*0.121))*(4/12)))*0.02,2) + ((H69*B113 + H70*I55 + I89 - I76 - I81 + I107)*4/12)*0.02</f>
        <v>12.317159999999998</v>
      </c>
    </row>
    <row r="122" spans="1:9" ht="37.5" customHeight="1" x14ac:dyDescent="0.2">
      <c r="A122" s="42" t="s">
        <v>50</v>
      </c>
      <c r="B122" s="345" t="s">
        <v>180</v>
      </c>
      <c r="C122" s="302"/>
      <c r="D122" s="302"/>
      <c r="E122" s="302"/>
      <c r="F122" s="302"/>
      <c r="G122" s="302"/>
      <c r="H122" s="346"/>
      <c r="I122" s="31">
        <f>ROUND(((3/30)/12)*($I$113),2)</f>
        <v>75.58</v>
      </c>
    </row>
    <row r="123" spans="1:9" ht="15.75" customHeight="1" x14ac:dyDescent="0.2">
      <c r="A123" s="308" t="s">
        <v>58</v>
      </c>
      <c r="B123" s="308"/>
      <c r="C123" s="308"/>
      <c r="D123" s="308"/>
      <c r="E123" s="308"/>
      <c r="F123" s="308"/>
      <c r="G123" s="308"/>
      <c r="H123" s="308"/>
      <c r="I123" s="36">
        <f>SUM(I117:I122)</f>
        <v>779.46716000000004</v>
      </c>
    </row>
    <row r="124" spans="1:9" ht="7.5" customHeight="1" x14ac:dyDescent="0.2">
      <c r="A124" s="334"/>
      <c r="B124" s="334"/>
      <c r="C124" s="334"/>
      <c r="D124" s="334"/>
      <c r="E124" s="334"/>
      <c r="F124" s="334"/>
      <c r="G124" s="334"/>
      <c r="H124" s="334"/>
      <c r="I124" s="334"/>
    </row>
    <row r="125" spans="1:9" ht="15.75" customHeight="1" x14ac:dyDescent="0.2">
      <c r="A125" s="335" t="s">
        <v>96</v>
      </c>
      <c r="B125" s="335"/>
      <c r="C125" s="335"/>
      <c r="D125" s="335"/>
      <c r="E125" s="335"/>
      <c r="F125" s="335"/>
      <c r="G125" s="335"/>
      <c r="H125" s="335"/>
      <c r="I125" s="335"/>
    </row>
    <row r="126" spans="1:9" ht="15.75" customHeight="1" x14ac:dyDescent="0.2">
      <c r="A126" s="58" t="s">
        <v>97</v>
      </c>
      <c r="B126" s="331" t="s">
        <v>98</v>
      </c>
      <c r="C126" s="331"/>
      <c r="D126" s="331"/>
      <c r="E126" s="331"/>
      <c r="F126" s="331"/>
      <c r="G126" s="331"/>
      <c r="H126" s="331"/>
      <c r="I126" s="59" t="s">
        <v>57</v>
      </c>
    </row>
    <row r="127" spans="1:9" ht="15.75" customHeight="1" x14ac:dyDescent="0.2">
      <c r="A127" s="24" t="s">
        <v>13</v>
      </c>
      <c r="B127" s="332" t="s">
        <v>99</v>
      </c>
      <c r="C127" s="332"/>
      <c r="D127" s="332"/>
      <c r="E127" s="332"/>
      <c r="F127" s="332"/>
      <c r="G127" s="332"/>
      <c r="H127" s="332"/>
      <c r="I127" s="60">
        <v>0</v>
      </c>
    </row>
    <row r="128" spans="1:9" ht="15.75" customHeight="1" x14ac:dyDescent="0.2">
      <c r="A128" s="336" t="s">
        <v>58</v>
      </c>
      <c r="B128" s="336"/>
      <c r="C128" s="336"/>
      <c r="D128" s="336"/>
      <c r="E128" s="336"/>
      <c r="F128" s="336"/>
      <c r="G128" s="336"/>
      <c r="H128" s="336"/>
      <c r="I128" s="60">
        <v>0</v>
      </c>
    </row>
    <row r="129" spans="1:9" ht="9.4" customHeight="1" x14ac:dyDescent="0.2">
      <c r="A129" s="334"/>
      <c r="B129" s="334"/>
      <c r="C129" s="334"/>
      <c r="D129" s="334"/>
      <c r="E129" s="334"/>
      <c r="F129" s="334"/>
      <c r="G129" s="334"/>
      <c r="H129" s="334"/>
      <c r="I129" s="334"/>
    </row>
    <row r="130" spans="1:9" ht="19.149999999999999" customHeight="1" x14ac:dyDescent="0.2">
      <c r="A130" s="330" t="s">
        <v>100</v>
      </c>
      <c r="B130" s="330"/>
      <c r="C130" s="330"/>
      <c r="D130" s="330"/>
      <c r="E130" s="330"/>
      <c r="F130" s="330"/>
      <c r="G130" s="330"/>
      <c r="H130" s="330"/>
      <c r="I130" s="330"/>
    </row>
    <row r="131" spans="1:9" ht="21.75" customHeight="1" x14ac:dyDescent="0.2">
      <c r="A131" s="28">
        <v>4</v>
      </c>
      <c r="B131" s="331" t="s">
        <v>101</v>
      </c>
      <c r="C131" s="331"/>
      <c r="D131" s="331"/>
      <c r="E131" s="331"/>
      <c r="F131" s="331"/>
      <c r="G131" s="331"/>
      <c r="H131" s="331"/>
      <c r="I131" s="59" t="s">
        <v>57</v>
      </c>
    </row>
    <row r="132" spans="1:9" ht="17.25" customHeight="1" x14ac:dyDescent="0.2">
      <c r="A132" s="61" t="s">
        <v>94</v>
      </c>
      <c r="B132" s="332" t="s">
        <v>95</v>
      </c>
      <c r="C132" s="332"/>
      <c r="D132" s="332"/>
      <c r="E132" s="332"/>
      <c r="F132" s="332"/>
      <c r="G132" s="332"/>
      <c r="H132" s="332"/>
      <c r="I132" s="60">
        <f>I123</f>
        <v>779.46716000000004</v>
      </c>
    </row>
    <row r="133" spans="1:9" ht="16.5" customHeight="1" x14ac:dyDescent="0.2">
      <c r="A133" s="61" t="s">
        <v>102</v>
      </c>
      <c r="B133" s="332" t="s">
        <v>98</v>
      </c>
      <c r="C133" s="332"/>
      <c r="D133" s="332"/>
      <c r="E133" s="332"/>
      <c r="F133" s="332"/>
      <c r="G133" s="332"/>
      <c r="H133" s="332"/>
      <c r="I133" s="60">
        <f>I128</f>
        <v>0</v>
      </c>
    </row>
    <row r="134" spans="1:9" s="26" customFormat="1" ht="14.25" customHeight="1" x14ac:dyDescent="0.2">
      <c r="A134" s="333" t="s">
        <v>58</v>
      </c>
      <c r="B134" s="333"/>
      <c r="C134" s="333"/>
      <c r="D134" s="333"/>
      <c r="E134" s="333"/>
      <c r="F134" s="333"/>
      <c r="G134" s="333"/>
      <c r="H134" s="333"/>
      <c r="I134" s="25">
        <f>SUM(I132+I133)</f>
        <v>779.46716000000004</v>
      </c>
    </row>
    <row r="135" spans="1:9" ht="6.75" customHeight="1" x14ac:dyDescent="0.2">
      <c r="A135" s="305"/>
      <c r="B135" s="305"/>
      <c r="C135" s="305"/>
      <c r="D135" s="305"/>
      <c r="E135" s="305"/>
      <c r="F135" s="305"/>
      <c r="G135" s="305"/>
      <c r="H135" s="305"/>
      <c r="I135" s="305"/>
    </row>
    <row r="136" spans="1:9" ht="27.6" customHeight="1" x14ac:dyDescent="0.2">
      <c r="A136" s="326" t="s">
        <v>103</v>
      </c>
      <c r="B136" s="326"/>
      <c r="C136" s="326"/>
      <c r="D136" s="326"/>
      <c r="E136" s="326"/>
      <c r="F136" s="326"/>
      <c r="G136" s="326"/>
      <c r="H136" s="326"/>
      <c r="I136" s="326"/>
    </row>
    <row r="137" spans="1:9" ht="15.75" customHeight="1" x14ac:dyDescent="0.2">
      <c r="A137" s="41">
        <v>3</v>
      </c>
      <c r="B137" s="327" t="s">
        <v>104</v>
      </c>
      <c r="C137" s="327"/>
      <c r="D137" s="327"/>
      <c r="E137" s="327"/>
      <c r="F137" s="327"/>
      <c r="G137" s="327"/>
      <c r="H137" s="327"/>
      <c r="I137" s="41" t="s">
        <v>57</v>
      </c>
    </row>
    <row r="138" spans="1:9" ht="27.75" customHeight="1" x14ac:dyDescent="0.2">
      <c r="A138" s="42" t="s">
        <v>13</v>
      </c>
      <c r="B138" s="328" t="s">
        <v>250</v>
      </c>
      <c r="C138" s="328"/>
      <c r="D138" s="328"/>
      <c r="E138" s="328"/>
      <c r="F138" s="328"/>
      <c r="G138" s="328"/>
      <c r="H138" s="328"/>
      <c r="I138" s="152">
        <f>'INSUMOS DOS POSTOS'!J64</f>
        <v>67.540000000000006</v>
      </c>
    </row>
    <row r="139" spans="1:9" ht="18.75" customHeight="1" x14ac:dyDescent="0.2">
      <c r="A139" s="42" t="s">
        <v>15</v>
      </c>
      <c r="B139" s="328" t="s">
        <v>251</v>
      </c>
      <c r="C139" s="328"/>
      <c r="D139" s="328"/>
      <c r="E139" s="328"/>
      <c r="F139" s="328"/>
      <c r="G139" s="328"/>
      <c r="H139" s="328"/>
      <c r="I139" s="152">
        <f>'INSUMOS DOS POSTOS'!J65</f>
        <v>180.28</v>
      </c>
    </row>
    <row r="140" spans="1:9" ht="18.75" customHeight="1" x14ac:dyDescent="0.2">
      <c r="A140" s="42" t="s">
        <v>17</v>
      </c>
      <c r="B140" s="328" t="s">
        <v>252</v>
      </c>
      <c r="C140" s="328"/>
      <c r="D140" s="328"/>
      <c r="E140" s="328"/>
      <c r="F140" s="328"/>
      <c r="G140" s="328"/>
      <c r="H140" s="328"/>
      <c r="I140" s="152">
        <f>'INSUMOS DOS POSTOS'!J66</f>
        <v>425.91</v>
      </c>
    </row>
    <row r="141" spans="1:9" ht="18.75" customHeight="1" x14ac:dyDescent="0.2">
      <c r="A141" s="42" t="s">
        <v>19</v>
      </c>
      <c r="B141" s="328" t="s">
        <v>253</v>
      </c>
      <c r="C141" s="328"/>
      <c r="D141" s="328"/>
      <c r="E141" s="328"/>
      <c r="F141" s="328"/>
      <c r="G141" s="328"/>
      <c r="H141" s="328"/>
      <c r="I141" s="152">
        <f>'INSUMOS DOS POSTOS'!J67</f>
        <v>21.07</v>
      </c>
    </row>
    <row r="142" spans="1:9" ht="15" customHeight="1" x14ac:dyDescent="0.2">
      <c r="A142" s="42" t="s">
        <v>49</v>
      </c>
      <c r="B142" s="329" t="s">
        <v>81</v>
      </c>
      <c r="C142" s="329"/>
      <c r="D142" s="329"/>
      <c r="E142" s="329"/>
      <c r="F142" s="329"/>
      <c r="G142" s="329"/>
      <c r="H142" s="329"/>
      <c r="I142" s="151"/>
    </row>
    <row r="143" spans="1:9" ht="15.75" customHeight="1" x14ac:dyDescent="0.2">
      <c r="A143" s="308" t="s">
        <v>105</v>
      </c>
      <c r="B143" s="308"/>
      <c r="C143" s="308"/>
      <c r="D143" s="308"/>
      <c r="E143" s="308"/>
      <c r="F143" s="308"/>
      <c r="G143" s="308"/>
      <c r="H143" s="308"/>
      <c r="I143" s="62">
        <f>ROUND(SUM(I138:I142),2)</f>
        <v>694.8</v>
      </c>
    </row>
    <row r="144" spans="1:9" ht="7.15" customHeight="1" x14ac:dyDescent="0.2">
      <c r="A144" s="322"/>
      <c r="B144" s="322"/>
      <c r="C144" s="322"/>
      <c r="D144" s="322"/>
      <c r="E144" s="322"/>
      <c r="F144" s="322"/>
      <c r="G144" s="322"/>
      <c r="H144" s="322"/>
      <c r="I144" s="322"/>
    </row>
    <row r="145" spans="1:9" x14ac:dyDescent="0.2">
      <c r="A145" s="323" t="s">
        <v>106</v>
      </c>
      <c r="B145" s="323"/>
      <c r="C145" s="323"/>
      <c r="D145" s="323"/>
      <c r="E145" s="323"/>
      <c r="F145" s="323"/>
      <c r="G145" s="323"/>
      <c r="H145" s="323"/>
      <c r="I145" s="323"/>
    </row>
    <row r="146" spans="1:9" ht="6.75" customHeight="1" x14ac:dyDescent="0.2">
      <c r="A146" s="63"/>
      <c r="B146" s="64"/>
      <c r="C146" s="64"/>
      <c r="D146" s="64"/>
      <c r="E146" s="64"/>
      <c r="F146" s="64"/>
      <c r="G146" s="64"/>
      <c r="H146" s="64"/>
      <c r="I146" s="65"/>
    </row>
    <row r="147" spans="1:9" ht="21" customHeight="1" x14ac:dyDescent="0.2">
      <c r="A147" s="324" t="s">
        <v>107</v>
      </c>
      <c r="B147" s="324"/>
      <c r="C147" s="324"/>
      <c r="D147" s="324"/>
      <c r="E147" s="324"/>
      <c r="F147" s="324"/>
      <c r="G147" s="324"/>
      <c r="H147" s="324"/>
      <c r="I147" s="324"/>
    </row>
    <row r="148" spans="1:9" ht="30" x14ac:dyDescent="0.2">
      <c r="A148" s="41">
        <v>6</v>
      </c>
      <c r="B148" s="325" t="s">
        <v>108</v>
      </c>
      <c r="C148" s="325"/>
      <c r="D148" s="325"/>
      <c r="E148" s="325"/>
      <c r="F148" s="325"/>
      <c r="G148" s="325"/>
      <c r="H148" s="5" t="s">
        <v>47</v>
      </c>
      <c r="I148" s="66" t="s">
        <v>61</v>
      </c>
    </row>
    <row r="149" spans="1:9" ht="50.65" customHeight="1" x14ac:dyDescent="0.2">
      <c r="A149" s="318" t="s">
        <v>109</v>
      </c>
      <c r="B149" s="318"/>
      <c r="C149" s="318"/>
      <c r="D149" s="318"/>
      <c r="E149" s="318"/>
      <c r="F149" s="318"/>
      <c r="G149" s="318"/>
      <c r="H149" s="67" t="s">
        <v>24</v>
      </c>
      <c r="I149" s="68">
        <f>SUM(I48+I98+I107+I134+I143)</f>
        <v>10807.187159999999</v>
      </c>
    </row>
    <row r="150" spans="1:9" ht="15" customHeight="1" x14ac:dyDescent="0.2">
      <c r="A150" s="42" t="s">
        <v>13</v>
      </c>
      <c r="B150" s="319" t="s">
        <v>110</v>
      </c>
      <c r="C150" s="319"/>
      <c r="D150" s="319"/>
      <c r="E150" s="319"/>
      <c r="F150" s="319"/>
      <c r="G150" s="319"/>
      <c r="H150" s="240">
        <v>0.06</v>
      </c>
      <c r="I150" s="31">
        <f>ROUND(H150*I149,2)</f>
        <v>648.42999999999995</v>
      </c>
    </row>
    <row r="151" spans="1:9" ht="48.75" customHeight="1" x14ac:dyDescent="0.2">
      <c r="A151" s="318" t="s">
        <v>111</v>
      </c>
      <c r="B151" s="318"/>
      <c r="C151" s="318"/>
      <c r="D151" s="318"/>
      <c r="E151" s="318"/>
      <c r="F151" s="318"/>
      <c r="G151" s="318"/>
      <c r="H151" s="69" t="s">
        <v>24</v>
      </c>
      <c r="I151" s="68">
        <f>SUM(I48+I98+I107+I134+I143+I150)</f>
        <v>11455.61716</v>
      </c>
    </row>
    <row r="152" spans="1:9" ht="15" customHeight="1" x14ac:dyDescent="0.2">
      <c r="A152" s="42" t="s">
        <v>15</v>
      </c>
      <c r="B152" s="319" t="s">
        <v>112</v>
      </c>
      <c r="C152" s="319"/>
      <c r="D152" s="319"/>
      <c r="E152" s="319"/>
      <c r="F152" s="319"/>
      <c r="G152" s="319"/>
      <c r="H152" s="240">
        <v>6.7900000000000002E-2</v>
      </c>
      <c r="I152" s="31">
        <f>ROUND(H152*I151,2)</f>
        <v>777.84</v>
      </c>
    </row>
    <row r="153" spans="1:9" ht="52.5" customHeight="1" x14ac:dyDescent="0.2">
      <c r="A153" s="318" t="s">
        <v>113</v>
      </c>
      <c r="B153" s="318"/>
      <c r="C153" s="318"/>
      <c r="D153" s="318"/>
      <c r="E153" s="318"/>
      <c r="F153" s="318"/>
      <c r="G153" s="318"/>
      <c r="H153" s="69" t="s">
        <v>24</v>
      </c>
      <c r="I153" s="68">
        <f>SUM(I48+I98+I107+I134+I143+I150+I152)</f>
        <v>12233.45716</v>
      </c>
    </row>
    <row r="154" spans="1:9" ht="22.5" customHeight="1" x14ac:dyDescent="0.2">
      <c r="A154" s="70" t="s">
        <v>17</v>
      </c>
      <c r="B154" s="320" t="s">
        <v>114</v>
      </c>
      <c r="C154" s="320"/>
      <c r="D154" s="320"/>
      <c r="E154" s="320"/>
      <c r="F154" s="320"/>
      <c r="G154" s="320"/>
      <c r="H154" s="71" t="s">
        <v>24</v>
      </c>
      <c r="I154" s="18" t="s">
        <v>24</v>
      </c>
    </row>
    <row r="155" spans="1:9" ht="18" customHeight="1" x14ac:dyDescent="0.2">
      <c r="A155" s="42"/>
      <c r="B155" s="321" t="s">
        <v>115</v>
      </c>
      <c r="C155" s="321"/>
      <c r="D155" s="321"/>
      <c r="E155" s="321"/>
      <c r="F155" s="321"/>
      <c r="G155" s="321"/>
      <c r="H155" s="71" t="s">
        <v>24</v>
      </c>
      <c r="I155" s="18" t="s">
        <v>24</v>
      </c>
    </row>
    <row r="156" spans="1:9" ht="25.5" customHeight="1" x14ac:dyDescent="0.2">
      <c r="A156" s="42"/>
      <c r="B156" s="314" t="s">
        <v>116</v>
      </c>
      <c r="C156" s="314"/>
      <c r="D156" s="314"/>
      <c r="E156" s="314"/>
      <c r="F156" s="314"/>
      <c r="G156" s="314"/>
      <c r="H156" s="241">
        <v>0.03</v>
      </c>
      <c r="I156" s="72">
        <f>ROUND(($I$153/(1-$H$165))*H156,2)</f>
        <v>388.98</v>
      </c>
    </row>
    <row r="157" spans="1:9" ht="27" customHeight="1" x14ac:dyDescent="0.2">
      <c r="A157" s="42"/>
      <c r="B157" s="314" t="s">
        <v>117</v>
      </c>
      <c r="C157" s="314"/>
      <c r="D157" s="314"/>
      <c r="E157" s="314"/>
      <c r="F157" s="314"/>
      <c r="G157" s="314"/>
      <c r="H157" s="241">
        <v>6.4999999999999997E-3</v>
      </c>
      <c r="I157" s="72">
        <f>ROUND(($I$153/(1-$H$165))*H157,2)</f>
        <v>84.28</v>
      </c>
    </row>
    <row r="158" spans="1:9" ht="23.25" customHeight="1" x14ac:dyDescent="0.2">
      <c r="A158" s="42"/>
      <c r="B158" s="315" t="s">
        <v>181</v>
      </c>
      <c r="C158" s="315"/>
      <c r="D158" s="315"/>
      <c r="E158" s="315"/>
      <c r="F158" s="315"/>
      <c r="G158" s="315"/>
      <c r="H158" s="73" t="s">
        <v>24</v>
      </c>
      <c r="I158" s="18" t="s">
        <v>24</v>
      </c>
    </row>
    <row r="159" spans="1:9" ht="24" customHeight="1" x14ac:dyDescent="0.2">
      <c r="A159" s="42"/>
      <c r="B159" s="315" t="s">
        <v>182</v>
      </c>
      <c r="C159" s="315"/>
      <c r="D159" s="315"/>
      <c r="E159" s="315"/>
      <c r="F159" s="315"/>
      <c r="G159" s="315"/>
      <c r="H159" s="73" t="s">
        <v>24</v>
      </c>
      <c r="I159" s="18" t="s">
        <v>24</v>
      </c>
    </row>
    <row r="160" spans="1:9" ht="15" customHeight="1" x14ac:dyDescent="0.2">
      <c r="A160" s="42"/>
      <c r="B160" s="316" t="s">
        <v>118</v>
      </c>
      <c r="C160" s="316"/>
      <c r="D160" s="316"/>
      <c r="E160" s="316"/>
      <c r="F160" s="316"/>
      <c r="G160" s="316"/>
      <c r="H160" s="74" t="s">
        <v>24</v>
      </c>
      <c r="I160" s="75" t="s">
        <v>24</v>
      </c>
    </row>
    <row r="161" spans="1:11" ht="15.75" customHeight="1" x14ac:dyDescent="0.2">
      <c r="A161" s="42"/>
      <c r="B161" s="316" t="s">
        <v>119</v>
      </c>
      <c r="C161" s="316"/>
      <c r="D161" s="316"/>
      <c r="E161" s="316"/>
      <c r="F161" s="316"/>
      <c r="G161" s="316"/>
      <c r="H161" s="74" t="s">
        <v>24</v>
      </c>
      <c r="I161" s="75" t="s">
        <v>24</v>
      </c>
    </row>
    <row r="162" spans="1:11" ht="14.25" customHeight="1" x14ac:dyDescent="0.2">
      <c r="A162" s="42"/>
      <c r="B162" s="317" t="s">
        <v>224</v>
      </c>
      <c r="C162" s="317"/>
      <c r="D162" s="317"/>
      <c r="E162" s="317"/>
      <c r="F162" s="317"/>
      <c r="G162" s="317"/>
      <c r="H162" s="241">
        <v>0.02</v>
      </c>
      <c r="I162" s="72">
        <f>ROUND(($I$153/(1-$H$165))*H162,2)</f>
        <v>259.32</v>
      </c>
    </row>
    <row r="163" spans="1:11" ht="15.75" customHeight="1" x14ac:dyDescent="0.2">
      <c r="A163" s="308" t="s">
        <v>89</v>
      </c>
      <c r="B163" s="308"/>
      <c r="C163" s="308"/>
      <c r="D163" s="308"/>
      <c r="E163" s="308"/>
      <c r="F163" s="308"/>
      <c r="G163" s="308"/>
      <c r="H163" s="308"/>
      <c r="I163" s="36">
        <f>SUM(I150+I152+I156+I157+I162)</f>
        <v>2158.85</v>
      </c>
    </row>
    <row r="164" spans="1:11" ht="6.75" customHeight="1" x14ac:dyDescent="0.2">
      <c r="A164" s="305"/>
      <c r="B164" s="305"/>
      <c r="C164" s="305"/>
      <c r="D164" s="305"/>
      <c r="E164" s="305"/>
      <c r="F164" s="305"/>
      <c r="G164" s="305"/>
      <c r="H164" s="305"/>
      <c r="I164" s="305"/>
    </row>
    <row r="165" spans="1:11" ht="18.75" customHeight="1" x14ac:dyDescent="0.2">
      <c r="A165" s="309" t="s">
        <v>120</v>
      </c>
      <c r="B165" s="309"/>
      <c r="C165" s="309"/>
      <c r="D165" s="309"/>
      <c r="E165" s="309"/>
      <c r="F165" s="309"/>
      <c r="G165" s="309"/>
      <c r="H165" s="76">
        <f>SUM(H156:H162)</f>
        <v>5.6499999999999995E-2</v>
      </c>
      <c r="I165" s="77">
        <f>SUM(I156:I162)</f>
        <v>732.57999999999993</v>
      </c>
    </row>
    <row r="166" spans="1:11" ht="13.5" customHeight="1" x14ac:dyDescent="0.2">
      <c r="A166" s="310" t="s">
        <v>121</v>
      </c>
      <c r="B166" s="310"/>
      <c r="C166" s="311" t="s">
        <v>122</v>
      </c>
      <c r="D166" s="311"/>
      <c r="E166" s="311"/>
      <c r="F166" s="311"/>
      <c r="G166" s="311"/>
      <c r="H166" s="311"/>
      <c r="I166" s="311"/>
    </row>
    <row r="167" spans="1:11" ht="6.75" customHeight="1" x14ac:dyDescent="0.2">
      <c r="A167" s="310"/>
      <c r="B167" s="310"/>
      <c r="C167" s="312" t="s">
        <v>123</v>
      </c>
      <c r="D167" s="312"/>
      <c r="E167" s="312"/>
      <c r="F167" s="312"/>
      <c r="G167" s="312"/>
      <c r="H167" s="312"/>
      <c r="I167" s="312"/>
    </row>
    <row r="168" spans="1:11" ht="24.6" customHeight="1" x14ac:dyDescent="0.2">
      <c r="A168" s="310"/>
      <c r="B168" s="310"/>
      <c r="C168" s="313" t="s">
        <v>124</v>
      </c>
      <c r="D168" s="313"/>
      <c r="E168" s="313"/>
      <c r="F168" s="313"/>
      <c r="G168" s="313"/>
      <c r="H168" s="313"/>
      <c r="I168" s="313"/>
    </row>
    <row r="169" spans="1:11" ht="5.25" customHeight="1" x14ac:dyDescent="0.2">
      <c r="A169" s="303"/>
      <c r="B169" s="303"/>
      <c r="C169" s="303"/>
      <c r="D169" s="303"/>
      <c r="E169" s="303"/>
      <c r="F169" s="303"/>
      <c r="G169" s="303"/>
      <c r="H169" s="303"/>
      <c r="I169" s="303"/>
    </row>
    <row r="170" spans="1:11" ht="28.15" customHeight="1" x14ac:dyDescent="0.2">
      <c r="A170" s="304" t="s">
        <v>125</v>
      </c>
      <c r="B170" s="304"/>
      <c r="C170" s="304"/>
      <c r="D170" s="304"/>
      <c r="E170" s="304"/>
      <c r="F170" s="304"/>
      <c r="G170" s="304"/>
      <c r="H170" s="304"/>
      <c r="I170" s="304"/>
    </row>
    <row r="171" spans="1:11" ht="8.25" customHeight="1" x14ac:dyDescent="0.2">
      <c r="A171" s="305"/>
      <c r="B171" s="305"/>
      <c r="C171" s="305"/>
      <c r="D171" s="305"/>
      <c r="E171" s="305"/>
      <c r="F171" s="305"/>
      <c r="G171" s="305"/>
      <c r="H171" s="305"/>
      <c r="I171" s="305"/>
    </row>
    <row r="172" spans="1:11" ht="20.25" customHeight="1" x14ac:dyDescent="0.2">
      <c r="A172" s="417" t="s">
        <v>183</v>
      </c>
      <c r="B172" s="417"/>
      <c r="C172" s="417"/>
      <c r="D172" s="417"/>
      <c r="E172" s="417"/>
      <c r="F172" s="417"/>
      <c r="G172" s="417"/>
      <c r="H172" s="417"/>
      <c r="I172" s="417"/>
      <c r="K172" s="78"/>
    </row>
    <row r="173" spans="1:11" ht="15" customHeight="1" x14ac:dyDescent="0.2">
      <c r="A173" s="307" t="s">
        <v>126</v>
      </c>
      <c r="B173" s="307"/>
      <c r="C173" s="307"/>
      <c r="D173" s="307"/>
      <c r="E173" s="307"/>
      <c r="F173" s="307"/>
      <c r="G173" s="307"/>
      <c r="H173" s="307"/>
      <c r="I173" s="5" t="s">
        <v>57</v>
      </c>
    </row>
    <row r="174" spans="1:11" ht="15" customHeight="1" x14ac:dyDescent="0.2">
      <c r="A174" s="79" t="s">
        <v>13</v>
      </c>
      <c r="B174" s="302" t="s">
        <v>127</v>
      </c>
      <c r="C174" s="302"/>
      <c r="D174" s="302"/>
      <c r="E174" s="302"/>
      <c r="F174" s="302"/>
      <c r="G174" s="302"/>
      <c r="H174" s="302"/>
      <c r="I174" s="49">
        <f>I48</f>
        <v>5414.6799999999994</v>
      </c>
    </row>
    <row r="175" spans="1:11" ht="15" customHeight="1" x14ac:dyDescent="0.2">
      <c r="A175" s="79" t="s">
        <v>15</v>
      </c>
      <c r="B175" s="302" t="s">
        <v>128</v>
      </c>
      <c r="C175" s="302"/>
      <c r="D175" s="302"/>
      <c r="E175" s="302"/>
      <c r="F175" s="302"/>
      <c r="G175" s="302"/>
      <c r="H175" s="302"/>
      <c r="I175" s="49">
        <f>I98</f>
        <v>3542.84</v>
      </c>
    </row>
    <row r="176" spans="1:11" ht="15" customHeight="1" x14ac:dyDescent="0.2">
      <c r="A176" s="79" t="s">
        <v>17</v>
      </c>
      <c r="B176" s="302" t="s">
        <v>129</v>
      </c>
      <c r="C176" s="302"/>
      <c r="D176" s="302"/>
      <c r="E176" s="302"/>
      <c r="F176" s="302"/>
      <c r="G176" s="302"/>
      <c r="H176" s="302"/>
      <c r="I176" s="49">
        <f>I107</f>
        <v>375.4</v>
      </c>
    </row>
    <row r="177" spans="1:9" ht="15" customHeight="1" x14ac:dyDescent="0.2">
      <c r="A177" s="79" t="s">
        <v>19</v>
      </c>
      <c r="B177" s="302" t="s">
        <v>130</v>
      </c>
      <c r="C177" s="302"/>
      <c r="D177" s="302"/>
      <c r="E177" s="302"/>
      <c r="F177" s="302"/>
      <c r="G177" s="302"/>
      <c r="H177" s="302"/>
      <c r="I177" s="49">
        <f>I134</f>
        <v>779.46716000000004</v>
      </c>
    </row>
    <row r="178" spans="1:9" ht="15" customHeight="1" x14ac:dyDescent="0.2">
      <c r="A178" s="79" t="s">
        <v>49</v>
      </c>
      <c r="B178" s="302" t="s">
        <v>153</v>
      </c>
      <c r="C178" s="302"/>
      <c r="D178" s="302"/>
      <c r="E178" s="302"/>
      <c r="F178" s="302"/>
      <c r="G178" s="302"/>
      <c r="H178" s="302"/>
      <c r="I178" s="49">
        <f>I143</f>
        <v>694.8</v>
      </c>
    </row>
    <row r="179" spans="1:9" ht="15" customHeight="1" x14ac:dyDescent="0.2">
      <c r="A179" s="301" t="s">
        <v>131</v>
      </c>
      <c r="B179" s="301"/>
      <c r="C179" s="301"/>
      <c r="D179" s="301"/>
      <c r="E179" s="301"/>
      <c r="F179" s="301"/>
      <c r="G179" s="301"/>
      <c r="H179" s="301"/>
      <c r="I179" s="49">
        <f>ROUND(SUM(I174:I178),2)</f>
        <v>10807.19</v>
      </c>
    </row>
    <row r="180" spans="1:9" ht="15.75" customHeight="1" x14ac:dyDescent="0.2">
      <c r="A180" s="80" t="s">
        <v>50</v>
      </c>
      <c r="B180" s="302" t="s">
        <v>107</v>
      </c>
      <c r="C180" s="302"/>
      <c r="D180" s="302"/>
      <c r="E180" s="302"/>
      <c r="F180" s="302"/>
      <c r="G180" s="302"/>
      <c r="H180" s="302"/>
      <c r="I180" s="62">
        <f>I163</f>
        <v>2158.85</v>
      </c>
    </row>
    <row r="181" spans="1:9" ht="16.5" customHeight="1" x14ac:dyDescent="0.2">
      <c r="A181" s="301" t="s">
        <v>132</v>
      </c>
      <c r="B181" s="301"/>
      <c r="C181" s="301"/>
      <c r="D181" s="301"/>
      <c r="E181" s="301"/>
      <c r="F181" s="301"/>
      <c r="G181" s="301"/>
      <c r="H181" s="301"/>
      <c r="I181" s="113">
        <f>I179+I180</f>
        <v>12966.04</v>
      </c>
    </row>
    <row r="182" spans="1:9" ht="18.75" customHeight="1" x14ac:dyDescent="0.2">
      <c r="A182" s="418" t="s">
        <v>142</v>
      </c>
      <c r="B182" s="418"/>
      <c r="C182" s="418"/>
      <c r="D182" s="418"/>
      <c r="E182" s="418"/>
      <c r="F182" s="418"/>
      <c r="G182" s="418"/>
      <c r="H182" s="418"/>
      <c r="I182" s="418"/>
    </row>
    <row r="183" spans="1:9" ht="8.25" customHeight="1" x14ac:dyDescent="0.2">
      <c r="A183" s="298"/>
      <c r="B183" s="298"/>
      <c r="C183" s="298"/>
      <c r="D183" s="298"/>
      <c r="E183" s="298"/>
      <c r="F183" s="298"/>
      <c r="G183" s="298"/>
      <c r="H183" s="298"/>
      <c r="I183" s="298"/>
    </row>
    <row r="184" spans="1:9" ht="19.5" customHeight="1" x14ac:dyDescent="0.2">
      <c r="A184" s="299" t="s">
        <v>143</v>
      </c>
      <c r="B184" s="299"/>
      <c r="C184" s="299"/>
      <c r="D184" s="299"/>
      <c r="E184" s="299"/>
      <c r="F184" s="299"/>
      <c r="G184" s="300">
        <f>I181*H16</f>
        <v>12966.04</v>
      </c>
      <c r="H184" s="300"/>
      <c r="I184" s="300"/>
    </row>
    <row r="185" spans="1:9" ht="8.25" customHeight="1" x14ac:dyDescent="0.25">
      <c r="A185" s="290"/>
      <c r="B185" s="290"/>
      <c r="C185" s="290"/>
      <c r="D185" s="290"/>
      <c r="E185" s="290"/>
      <c r="F185" s="290"/>
      <c r="G185" s="290"/>
      <c r="H185" s="290"/>
      <c r="I185" s="290"/>
    </row>
    <row r="186" spans="1:9" ht="31.5" customHeight="1" x14ac:dyDescent="0.2">
      <c r="A186" s="291" t="s">
        <v>144</v>
      </c>
      <c r="B186" s="291"/>
      <c r="C186" s="291"/>
      <c r="D186" s="291"/>
      <c r="E186" s="291"/>
      <c r="F186" s="291"/>
      <c r="G186" s="292">
        <f>$H$11</f>
        <v>60</v>
      </c>
      <c r="H186" s="292"/>
      <c r="I186" s="292"/>
    </row>
    <row r="187" spans="1:9" ht="8.25" customHeight="1" x14ac:dyDescent="0.2">
      <c r="A187" s="293"/>
      <c r="B187" s="293"/>
      <c r="C187" s="293"/>
      <c r="D187" s="293"/>
      <c r="E187" s="293"/>
      <c r="F187" s="293"/>
      <c r="G187" s="293"/>
      <c r="H187" s="293"/>
      <c r="I187" s="293"/>
    </row>
    <row r="188" spans="1:9" ht="29.25" customHeight="1" x14ac:dyDescent="0.2">
      <c r="A188" s="294" t="s">
        <v>145</v>
      </c>
      <c r="B188" s="294"/>
      <c r="C188" s="294"/>
      <c r="D188" s="294"/>
      <c r="E188" s="294"/>
      <c r="F188" s="294"/>
      <c r="G188" s="295">
        <f>ROUND(G184*G186,2)</f>
        <v>777962.4</v>
      </c>
      <c r="H188" s="295"/>
      <c r="I188" s="295"/>
    </row>
    <row r="189" spans="1:9" ht="8.25" customHeight="1" x14ac:dyDescent="0.2">
      <c r="A189" s="287"/>
      <c r="B189" s="287"/>
      <c r="C189" s="287"/>
      <c r="D189" s="287"/>
      <c r="E189" s="287"/>
      <c r="F189" s="287"/>
      <c r="G189" s="287"/>
      <c r="H189" s="287"/>
      <c r="I189" s="287"/>
    </row>
    <row r="190" spans="1:9" ht="27" customHeight="1" x14ac:dyDescent="0.2">
      <c r="A190" s="288" t="s">
        <v>228</v>
      </c>
      <c r="B190" s="288"/>
      <c r="C190" s="288"/>
      <c r="D190" s="288"/>
      <c r="E190" s="288"/>
      <c r="F190" s="288"/>
      <c r="G190" s="288"/>
      <c r="H190" s="288"/>
      <c r="I190" s="288"/>
    </row>
    <row r="191" spans="1:9" ht="12" customHeight="1" x14ac:dyDescent="0.2">
      <c r="A191" s="289" t="s">
        <v>146</v>
      </c>
      <c r="B191" s="289"/>
      <c r="C191" s="289"/>
      <c r="D191" s="281" t="s">
        <v>147</v>
      </c>
      <c r="E191" s="281"/>
      <c r="F191" s="281"/>
      <c r="G191" s="281"/>
      <c r="H191" s="281"/>
      <c r="I191" s="281"/>
    </row>
    <row r="192" spans="1:9" ht="12.75" customHeight="1" x14ac:dyDescent="0.2">
      <c r="A192" s="289"/>
      <c r="B192" s="289"/>
      <c r="C192" s="289"/>
      <c r="D192" s="281"/>
      <c r="E192" s="281"/>
      <c r="F192" s="281"/>
      <c r="G192" s="281"/>
      <c r="H192" s="281"/>
      <c r="I192" s="281"/>
    </row>
    <row r="193" spans="1:9" ht="12.75" customHeight="1" x14ac:dyDescent="0.2">
      <c r="A193" s="283" t="s">
        <v>148</v>
      </c>
      <c r="B193" s="283"/>
      <c r="C193" s="283"/>
      <c r="D193" s="284"/>
      <c r="E193" s="284"/>
      <c r="F193" s="284"/>
      <c r="G193" s="284"/>
      <c r="H193" s="284"/>
      <c r="I193" s="284"/>
    </row>
    <row r="194" spans="1:9" ht="15" customHeight="1" x14ac:dyDescent="0.2">
      <c r="A194" s="283"/>
      <c r="B194" s="283"/>
      <c r="C194" s="283"/>
      <c r="D194" s="284"/>
      <c r="E194" s="284"/>
      <c r="F194" s="284"/>
      <c r="G194" s="284"/>
      <c r="H194" s="284"/>
      <c r="I194" s="284"/>
    </row>
    <row r="195" spans="1:9" ht="12.75" hidden="1" customHeight="1" x14ac:dyDescent="0.2">
      <c r="A195" s="419"/>
      <c r="B195" s="419"/>
      <c r="C195" s="419"/>
      <c r="D195" s="420"/>
      <c r="E195" s="420"/>
      <c r="F195" s="420"/>
      <c r="G195" s="420"/>
      <c r="H195" s="420"/>
      <c r="I195" s="420"/>
    </row>
    <row r="196" spans="1:9" ht="6" customHeight="1" x14ac:dyDescent="0.2">
      <c r="A196" s="285"/>
      <c r="B196" s="285"/>
      <c r="C196" s="285"/>
      <c r="D196" s="285"/>
      <c r="E196" s="285"/>
      <c r="F196" s="285"/>
      <c r="G196" s="285"/>
      <c r="H196" s="285"/>
      <c r="I196" s="285"/>
    </row>
    <row r="197" spans="1:9" ht="12.75" hidden="1" customHeight="1" x14ac:dyDescent="0.2">
      <c r="A197" s="285"/>
      <c r="B197" s="285"/>
      <c r="C197" s="285"/>
      <c r="D197" s="285"/>
      <c r="E197" s="285"/>
      <c r="F197" s="285"/>
      <c r="G197" s="285"/>
      <c r="H197" s="285"/>
      <c r="I197" s="285"/>
    </row>
    <row r="198" spans="1:9" ht="27" customHeight="1" x14ac:dyDescent="0.2">
      <c r="A198" s="286" t="s">
        <v>227</v>
      </c>
      <c r="B198" s="286"/>
      <c r="C198" s="286"/>
      <c r="D198" s="286"/>
      <c r="E198" s="286"/>
      <c r="F198" s="286"/>
      <c r="G198" s="286"/>
      <c r="H198" s="286"/>
      <c r="I198" s="286"/>
    </row>
    <row r="199" spans="1:9" ht="12.75" customHeight="1" x14ac:dyDescent="0.2">
      <c r="A199" s="281" t="s">
        <v>149</v>
      </c>
      <c r="B199" s="281"/>
      <c r="C199" s="281"/>
      <c r="D199" s="281"/>
      <c r="E199" s="281"/>
      <c r="F199" s="281"/>
      <c r="G199" s="281"/>
      <c r="H199" s="281" t="s">
        <v>150</v>
      </c>
      <c r="I199" s="281"/>
    </row>
    <row r="200" spans="1:9" ht="12.75" customHeight="1" x14ac:dyDescent="0.25">
      <c r="A200" s="282"/>
      <c r="B200" s="282"/>
      <c r="C200" s="282"/>
      <c r="D200" s="282"/>
      <c r="E200" s="282"/>
      <c r="F200" s="282"/>
      <c r="G200" s="282"/>
      <c r="H200" s="278"/>
      <c r="I200" s="278"/>
    </row>
    <row r="201" spans="1:9" ht="12.75" customHeight="1" x14ac:dyDescent="0.2">
      <c r="A201" s="283"/>
      <c r="B201" s="283"/>
      <c r="C201" s="283"/>
      <c r="D201" s="283"/>
      <c r="E201" s="283"/>
      <c r="F201" s="283"/>
      <c r="G201" s="283"/>
      <c r="H201" s="278"/>
      <c r="I201" s="278"/>
    </row>
    <row r="202" spans="1:9" ht="12.75" customHeight="1" x14ac:dyDescent="0.2">
      <c r="A202" s="277"/>
      <c r="B202" s="277"/>
      <c r="C202" s="277"/>
      <c r="D202" s="277"/>
      <c r="E202" s="277"/>
      <c r="F202" s="277"/>
      <c r="G202" s="277"/>
      <c r="H202" s="278"/>
      <c r="I202" s="278"/>
    </row>
    <row r="210" ht="12.75" customHeight="1" x14ac:dyDescent="0.2"/>
  </sheetData>
  <mergeCells count="263">
    <mergeCell ref="A195:C195"/>
    <mergeCell ref="D195:I195"/>
    <mergeCell ref="A169:I169"/>
    <mergeCell ref="A170:I170"/>
    <mergeCell ref="A173:H173"/>
    <mergeCell ref="B174:H174"/>
    <mergeCell ref="B175:H175"/>
    <mergeCell ref="A171:I171"/>
    <mergeCell ref="A172:I172"/>
    <mergeCell ref="A130:I130"/>
    <mergeCell ref="B131:H131"/>
    <mergeCell ref="B132:H132"/>
    <mergeCell ref="A134:H134"/>
    <mergeCell ref="A135:I135"/>
    <mergeCell ref="A136:I136"/>
    <mergeCell ref="B133:H133"/>
    <mergeCell ref="C168:I168"/>
    <mergeCell ref="B176:H176"/>
    <mergeCell ref="A202:G202"/>
    <mergeCell ref="H202:I202"/>
    <mergeCell ref="A199:G199"/>
    <mergeCell ref="H199:I199"/>
    <mergeCell ref="A200:G200"/>
    <mergeCell ref="B177:H177"/>
    <mergeCell ref="A201:G201"/>
    <mergeCell ref="H201:I201"/>
    <mergeCell ref="B178:H178"/>
    <mergeCell ref="B180:H180"/>
    <mergeCell ref="H200:I200"/>
    <mergeCell ref="A196:I197"/>
    <mergeCell ref="A198:I198"/>
    <mergeCell ref="A193:C193"/>
    <mergeCell ref="A182:I182"/>
    <mergeCell ref="A189:I189"/>
    <mergeCell ref="A191:C192"/>
    <mergeCell ref="A194:C194"/>
    <mergeCell ref="D194:I194"/>
    <mergeCell ref="D191:I192"/>
    <mergeCell ref="G184:I184"/>
    <mergeCell ref="A188:F188"/>
    <mergeCell ref="G188:I188"/>
    <mergeCell ref="A181:H181"/>
    <mergeCell ref="A179:H179"/>
    <mergeCell ref="D193:I193"/>
    <mergeCell ref="A190:I190"/>
    <mergeCell ref="A185:I185"/>
    <mergeCell ref="A183:I183"/>
    <mergeCell ref="A184:F184"/>
    <mergeCell ref="A187:I187"/>
    <mergeCell ref="A186:F186"/>
    <mergeCell ref="G186:I186"/>
    <mergeCell ref="B158:G158"/>
    <mergeCell ref="B155:G155"/>
    <mergeCell ref="A165:G165"/>
    <mergeCell ref="A166:B168"/>
    <mergeCell ref="C166:I166"/>
    <mergeCell ref="B159:G159"/>
    <mergeCell ref="B160:G160"/>
    <mergeCell ref="B161:G161"/>
    <mergeCell ref="B162:G162"/>
    <mergeCell ref="A163:H163"/>
    <mergeCell ref="A164:I164"/>
    <mergeCell ref="C167:I167"/>
    <mergeCell ref="B150:G150"/>
    <mergeCell ref="A151:G151"/>
    <mergeCell ref="B152:G152"/>
    <mergeCell ref="B148:G148"/>
    <mergeCell ref="A149:G149"/>
    <mergeCell ref="A153:G153"/>
    <mergeCell ref="B154:G154"/>
    <mergeCell ref="B156:G156"/>
    <mergeCell ref="B157:G157"/>
    <mergeCell ref="B139:H139"/>
    <mergeCell ref="B142:H142"/>
    <mergeCell ref="B138:H138"/>
    <mergeCell ref="A143:H143"/>
    <mergeCell ref="A144:I144"/>
    <mergeCell ref="A145:I145"/>
    <mergeCell ref="B140:H140"/>
    <mergeCell ref="B141:H141"/>
    <mergeCell ref="A147:I147"/>
    <mergeCell ref="B137:H137"/>
    <mergeCell ref="B126:H126"/>
    <mergeCell ref="B127:H127"/>
    <mergeCell ref="A128:H128"/>
    <mergeCell ref="A129:I129"/>
    <mergeCell ref="B120:H120"/>
    <mergeCell ref="B121:H121"/>
    <mergeCell ref="B122:H122"/>
    <mergeCell ref="A123:H123"/>
    <mergeCell ref="A124:I124"/>
    <mergeCell ref="A125:I125"/>
    <mergeCell ref="B105:H105"/>
    <mergeCell ref="B101:H101"/>
    <mergeCell ref="B102:H102"/>
    <mergeCell ref="B106:G106"/>
    <mergeCell ref="B117:F117"/>
    <mergeCell ref="B119:H119"/>
    <mergeCell ref="A110:I110"/>
    <mergeCell ref="A111:I111"/>
    <mergeCell ref="A112:I112"/>
    <mergeCell ref="A107:H107"/>
    <mergeCell ref="A108:I108"/>
    <mergeCell ref="A109:I109"/>
    <mergeCell ref="A114:I114"/>
    <mergeCell ref="B118:H118"/>
    <mergeCell ref="A115:I115"/>
    <mergeCell ref="B116:H116"/>
    <mergeCell ref="B94:H94"/>
    <mergeCell ref="B96:H96"/>
    <mergeCell ref="B97:H97"/>
    <mergeCell ref="B95:H95"/>
    <mergeCell ref="A98:H98"/>
    <mergeCell ref="A99:I99"/>
    <mergeCell ref="A100:I100"/>
    <mergeCell ref="B103:H103"/>
    <mergeCell ref="B104:H104"/>
    <mergeCell ref="B88:H88"/>
    <mergeCell ref="B86:H86"/>
    <mergeCell ref="B79:G79"/>
    <mergeCell ref="B80:G80"/>
    <mergeCell ref="B82:G82"/>
    <mergeCell ref="B89:H89"/>
    <mergeCell ref="A92:I92"/>
    <mergeCell ref="A93:I93"/>
    <mergeCell ref="A90:I90"/>
    <mergeCell ref="A91:I91"/>
    <mergeCell ref="B81:H81"/>
    <mergeCell ref="B83:G83"/>
    <mergeCell ref="B85:H85"/>
    <mergeCell ref="B84:G84"/>
    <mergeCell ref="A73:I73"/>
    <mergeCell ref="B75:H75"/>
    <mergeCell ref="B65:G65"/>
    <mergeCell ref="B67:G67"/>
    <mergeCell ref="B68:G68"/>
    <mergeCell ref="B69:G69"/>
    <mergeCell ref="A74:I74"/>
    <mergeCell ref="A70:G70"/>
    <mergeCell ref="B87:H87"/>
    <mergeCell ref="B76:H76"/>
    <mergeCell ref="B77:G77"/>
    <mergeCell ref="B78:G78"/>
    <mergeCell ref="B64:C64"/>
    <mergeCell ref="B66:G66"/>
    <mergeCell ref="A59:I59"/>
    <mergeCell ref="A60:I60"/>
    <mergeCell ref="B63:G63"/>
    <mergeCell ref="A58:I58"/>
    <mergeCell ref="B61:G61"/>
    <mergeCell ref="B62:G62"/>
    <mergeCell ref="A72:I72"/>
    <mergeCell ref="A36:I36"/>
    <mergeCell ref="B37:G37"/>
    <mergeCell ref="B38:H38"/>
    <mergeCell ref="B39:H39"/>
    <mergeCell ref="B40:H40"/>
    <mergeCell ref="A53:I53"/>
    <mergeCell ref="B55:G55"/>
    <mergeCell ref="B56:G56"/>
    <mergeCell ref="A57:H57"/>
    <mergeCell ref="A48:H48"/>
    <mergeCell ref="A49:I49"/>
    <mergeCell ref="A51:I51"/>
    <mergeCell ref="A52:I52"/>
    <mergeCell ref="A50:I50"/>
    <mergeCell ref="B54:H54"/>
    <mergeCell ref="B42:H42"/>
    <mergeCell ref="B41:G41"/>
    <mergeCell ref="A43:H43"/>
    <mergeCell ref="A44:I44"/>
    <mergeCell ref="B45:H45"/>
    <mergeCell ref="A46:H46"/>
    <mergeCell ref="A47:I47"/>
    <mergeCell ref="B30:G30"/>
    <mergeCell ref="H30:I30"/>
    <mergeCell ref="B31:G31"/>
    <mergeCell ref="H31:I31"/>
    <mergeCell ref="B32:G32"/>
    <mergeCell ref="H32:I32"/>
    <mergeCell ref="A33:I33"/>
    <mergeCell ref="A34:I34"/>
    <mergeCell ref="A35:I35"/>
    <mergeCell ref="B25:G25"/>
    <mergeCell ref="H25:I25"/>
    <mergeCell ref="B26:G26"/>
    <mergeCell ref="H26:I26"/>
    <mergeCell ref="B27:G27"/>
    <mergeCell ref="H27:I27"/>
    <mergeCell ref="B28:G28"/>
    <mergeCell ref="H28:I28"/>
    <mergeCell ref="B29:G29"/>
    <mergeCell ref="H29:I29"/>
    <mergeCell ref="HY22:IF22"/>
    <mergeCell ref="IG22:IN22"/>
    <mergeCell ref="IO22:IV22"/>
    <mergeCell ref="B23:G23"/>
    <mergeCell ref="H23:I23"/>
    <mergeCell ref="B24:G24"/>
    <mergeCell ref="H24:I24"/>
    <mergeCell ref="GC22:GJ22"/>
    <mergeCell ref="GK22:GR22"/>
    <mergeCell ref="GS22:GZ22"/>
    <mergeCell ref="CK22:CR22"/>
    <mergeCell ref="CS22:CZ22"/>
    <mergeCell ref="DA22:DH22"/>
    <mergeCell ref="DI22:DP22"/>
    <mergeCell ref="DQ22:DX22"/>
    <mergeCell ref="DY22:EF22"/>
    <mergeCell ref="HA22:HH22"/>
    <mergeCell ref="HI22:HP22"/>
    <mergeCell ref="HQ22:HX22"/>
    <mergeCell ref="EG22:EN22"/>
    <mergeCell ref="EO22:EV22"/>
    <mergeCell ref="EW22:FD22"/>
    <mergeCell ref="FE22:FL22"/>
    <mergeCell ref="FM22:FT22"/>
    <mergeCell ref="FU22:GB22"/>
    <mergeCell ref="Q22:X22"/>
    <mergeCell ref="Y22:AF22"/>
    <mergeCell ref="AG22:AN22"/>
    <mergeCell ref="AO22:AV22"/>
    <mergeCell ref="AW22:BD22"/>
    <mergeCell ref="BE22:BL22"/>
    <mergeCell ref="BM22:BT22"/>
    <mergeCell ref="BU22:CB22"/>
    <mergeCell ref="CC22:CJ22"/>
    <mergeCell ref="A16:G16"/>
    <mergeCell ref="H16:I16"/>
    <mergeCell ref="A17:I17"/>
    <mergeCell ref="A18:I18"/>
    <mergeCell ref="A19:I19"/>
    <mergeCell ref="A20:I20"/>
    <mergeCell ref="A21:I21"/>
    <mergeCell ref="A22:I22"/>
    <mergeCell ref="J22:P22"/>
    <mergeCell ref="A13:E13"/>
    <mergeCell ref="F13:G13"/>
    <mergeCell ref="H13:I13"/>
    <mergeCell ref="A15:E15"/>
    <mergeCell ref="F15:G15"/>
    <mergeCell ref="H15:I15"/>
    <mergeCell ref="A14:E14"/>
    <mergeCell ref="F14:G14"/>
    <mergeCell ref="H14:I14"/>
    <mergeCell ref="B9:G9"/>
    <mergeCell ref="H9:I9"/>
    <mergeCell ref="A6:E6"/>
    <mergeCell ref="F6:I6"/>
    <mergeCell ref="B10:G10"/>
    <mergeCell ref="H10:I10"/>
    <mergeCell ref="B11:G11"/>
    <mergeCell ref="H11:I11"/>
    <mergeCell ref="A12:I12"/>
    <mergeCell ref="A2:I2"/>
    <mergeCell ref="A3:I3"/>
    <mergeCell ref="A4:E4"/>
    <mergeCell ref="F4:I4"/>
    <mergeCell ref="A5:E5"/>
    <mergeCell ref="F5:I5"/>
    <mergeCell ref="A7:I7"/>
    <mergeCell ref="B8:G8"/>
    <mergeCell ref="H8:I8"/>
  </mergeCells>
  <pageMargins left="1.3779527559055118" right="0.39370078740157483" top="0.39370078740157483" bottom="0.39370078740157483" header="0.31496062992125984" footer="0.31496062992125984"/>
  <pageSetup paperSize="9" scale="65" orientation="portrait" horizontalDpi="300" verticalDpi="300" r:id="rId1"/>
  <rowBreaks count="3" manualBreakCount="3">
    <brk id="51" max="8" man="1"/>
    <brk id="99" max="8" man="1"/>
    <brk id="146" max="8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EB9D1-8EBD-4D94-9F39-C053012FB9A2}">
  <dimension ref="A1:J129"/>
  <sheetViews>
    <sheetView view="pageBreakPreview" topLeftCell="A105" zoomScale="120" zoomScaleNormal="120" zoomScaleSheetLayoutView="120" workbookViewId="0">
      <selection activeCell="A4" sqref="A4:E4"/>
    </sheetView>
  </sheetViews>
  <sheetFormatPr defaultColWidth="9.28515625" defaultRowHeight="12" x14ac:dyDescent="0.2"/>
  <cols>
    <col min="1" max="1" width="5.7109375" style="1" customWidth="1"/>
    <col min="2" max="3" width="21.7109375" style="1" customWidth="1"/>
    <col min="4" max="8" width="12.7109375" style="1" customWidth="1"/>
    <col min="9" max="9" width="12.7109375" style="2" customWidth="1"/>
    <col min="10" max="10" width="8.28515625" style="1" bestFit="1" customWidth="1"/>
    <col min="11" max="12" width="9.28515625" style="1" customWidth="1"/>
    <col min="13" max="16384" width="9.28515625" style="1"/>
  </cols>
  <sheetData>
    <row r="1" spans="1:9" x14ac:dyDescent="0.2">
      <c r="A1" s="196"/>
      <c r="B1" s="197"/>
      <c r="C1" s="197"/>
      <c r="D1" s="197"/>
      <c r="E1" s="197"/>
      <c r="F1" s="197"/>
      <c r="G1" s="197"/>
      <c r="H1" s="197"/>
      <c r="I1" s="198"/>
    </row>
    <row r="2" spans="1:9" ht="32.65" customHeight="1" x14ac:dyDescent="0.2">
      <c r="A2" s="439" t="s">
        <v>431</v>
      </c>
      <c r="B2" s="408"/>
      <c r="C2" s="408"/>
      <c r="D2" s="408"/>
      <c r="E2" s="408"/>
      <c r="F2" s="408"/>
      <c r="G2" s="408"/>
      <c r="H2" s="408"/>
      <c r="I2" s="440"/>
    </row>
    <row r="3" spans="1:9" ht="49.5" customHeight="1" x14ac:dyDescent="0.2">
      <c r="A3" s="441" t="s">
        <v>468</v>
      </c>
      <c r="B3" s="409"/>
      <c r="C3" s="409"/>
      <c r="D3" s="409"/>
      <c r="E3" s="409"/>
      <c r="F3" s="409"/>
      <c r="G3" s="409"/>
      <c r="H3" s="409"/>
      <c r="I3" s="442"/>
    </row>
    <row r="4" spans="1:9" ht="15.75" customHeight="1" x14ac:dyDescent="0.2">
      <c r="A4" s="329" t="s">
        <v>10</v>
      </c>
      <c r="B4" s="329"/>
      <c r="C4" s="329"/>
      <c r="D4" s="329"/>
      <c r="E4" s="329"/>
      <c r="F4" s="401"/>
      <c r="G4" s="401"/>
      <c r="H4" s="401"/>
      <c r="I4" s="401"/>
    </row>
    <row r="5" spans="1:9" ht="15.75" customHeight="1" x14ac:dyDescent="0.2">
      <c r="A5" s="329" t="s">
        <v>11</v>
      </c>
      <c r="B5" s="329"/>
      <c r="C5" s="329"/>
      <c r="D5" s="329"/>
      <c r="E5" s="329"/>
      <c r="F5" s="401"/>
      <c r="G5" s="401"/>
      <c r="H5" s="401"/>
      <c r="I5" s="401"/>
    </row>
    <row r="6" spans="1:9" ht="14.85" customHeight="1" x14ac:dyDescent="0.2">
      <c r="A6" s="358" t="s">
        <v>222</v>
      </c>
      <c r="B6" s="407"/>
      <c r="C6" s="407"/>
      <c r="D6" s="407"/>
      <c r="E6" s="407"/>
      <c r="F6" s="401"/>
      <c r="G6" s="401"/>
      <c r="H6" s="401"/>
      <c r="I6" s="401"/>
    </row>
    <row r="7" spans="1:9" ht="20.25" customHeight="1" x14ac:dyDescent="0.2">
      <c r="A7" s="307" t="s">
        <v>12</v>
      </c>
      <c r="B7" s="307"/>
      <c r="C7" s="307"/>
      <c r="D7" s="307"/>
      <c r="E7" s="307"/>
      <c r="F7" s="307"/>
      <c r="G7" s="307"/>
      <c r="H7" s="307"/>
      <c r="I7" s="307"/>
    </row>
    <row r="8" spans="1:9" ht="19.5" customHeight="1" x14ac:dyDescent="0.2">
      <c r="A8" s="3" t="s">
        <v>13</v>
      </c>
      <c r="B8" s="329" t="s">
        <v>14</v>
      </c>
      <c r="C8" s="329"/>
      <c r="D8" s="329"/>
      <c r="E8" s="329"/>
      <c r="F8" s="329"/>
      <c r="G8" s="329"/>
      <c r="H8" s="406"/>
      <c r="I8" s="406"/>
    </row>
    <row r="9" spans="1:9" ht="19.5" customHeight="1" x14ac:dyDescent="0.2">
      <c r="A9" s="3" t="s">
        <v>15</v>
      </c>
      <c r="B9" s="329" t="s">
        <v>16</v>
      </c>
      <c r="C9" s="329"/>
      <c r="D9" s="329"/>
      <c r="E9" s="329"/>
      <c r="F9" s="329"/>
      <c r="G9" s="329"/>
      <c r="H9" s="401" t="s">
        <v>223</v>
      </c>
      <c r="I9" s="401"/>
    </row>
    <row r="10" spans="1:9" ht="19.5" customHeight="1" x14ac:dyDescent="0.2">
      <c r="A10" s="3" t="s">
        <v>19</v>
      </c>
      <c r="B10" s="329" t="s">
        <v>218</v>
      </c>
      <c r="C10" s="329"/>
      <c r="D10" s="329"/>
      <c r="E10" s="329"/>
      <c r="F10" s="329"/>
      <c r="G10" s="329"/>
      <c r="H10" s="432">
        <v>60</v>
      </c>
      <c r="I10" s="432"/>
    </row>
    <row r="11" spans="1:9" ht="21.4" customHeight="1" x14ac:dyDescent="0.2">
      <c r="A11" s="433" t="s">
        <v>20</v>
      </c>
      <c r="B11" s="433"/>
      <c r="C11" s="433"/>
      <c r="D11" s="433"/>
      <c r="E11" s="433"/>
      <c r="F11" s="433"/>
      <c r="G11" s="433"/>
      <c r="H11" s="433"/>
      <c r="I11" s="433"/>
    </row>
    <row r="12" spans="1:9" ht="49.5" customHeight="1" x14ac:dyDescent="0.2">
      <c r="A12" s="404" t="s">
        <v>220</v>
      </c>
      <c r="B12" s="404"/>
      <c r="C12" s="404"/>
      <c r="D12" s="404"/>
      <c r="E12" s="404"/>
      <c r="F12" s="451" t="s">
        <v>21</v>
      </c>
      <c r="G12" s="452"/>
      <c r="H12" s="405" t="s">
        <v>22</v>
      </c>
      <c r="I12" s="405"/>
    </row>
    <row r="13" spans="1:9" ht="21.4" customHeight="1" x14ac:dyDescent="0.2">
      <c r="A13" s="453" t="s">
        <v>432</v>
      </c>
      <c r="B13" s="453"/>
      <c r="C13" s="453"/>
      <c r="D13" s="453"/>
      <c r="E13" s="453"/>
      <c r="F13" s="454" t="s">
        <v>215</v>
      </c>
      <c r="G13" s="454"/>
      <c r="H13" s="455">
        <v>1</v>
      </c>
      <c r="I13" s="455"/>
    </row>
    <row r="14" spans="1:9" ht="5.0999999999999996" customHeight="1" x14ac:dyDescent="0.2">
      <c r="A14" s="360"/>
      <c r="B14" s="360"/>
      <c r="C14" s="360"/>
      <c r="D14" s="360"/>
      <c r="E14" s="360"/>
      <c r="F14" s="360"/>
      <c r="G14" s="360"/>
      <c r="H14" s="360"/>
      <c r="I14" s="360"/>
    </row>
    <row r="15" spans="1:9" ht="19.5" x14ac:dyDescent="0.3">
      <c r="A15" s="396" t="s">
        <v>349</v>
      </c>
      <c r="B15" s="396"/>
      <c r="C15" s="396"/>
      <c r="D15" s="396"/>
      <c r="E15" s="396"/>
      <c r="F15" s="396"/>
      <c r="G15" s="396"/>
      <c r="H15" s="396"/>
      <c r="I15" s="396"/>
    </row>
    <row r="16" spans="1:9" ht="5.0999999999999996" customHeight="1" x14ac:dyDescent="0.2">
      <c r="A16" s="360"/>
      <c r="B16" s="360"/>
      <c r="C16" s="360"/>
      <c r="D16" s="360"/>
      <c r="E16" s="360"/>
      <c r="F16" s="360"/>
      <c r="G16" s="360"/>
      <c r="H16" s="360"/>
      <c r="I16" s="360"/>
    </row>
    <row r="17" spans="1:9" ht="20.25" customHeight="1" x14ac:dyDescent="0.2">
      <c r="A17" s="381" t="s">
        <v>436</v>
      </c>
      <c r="B17" s="381"/>
      <c r="C17" s="381"/>
      <c r="D17" s="381"/>
      <c r="E17" s="381"/>
      <c r="F17" s="381"/>
      <c r="G17" s="381"/>
      <c r="H17" s="381"/>
      <c r="I17" s="381"/>
    </row>
    <row r="18" spans="1:9" ht="5.0999999999999996" customHeight="1" x14ac:dyDescent="0.2">
      <c r="A18" s="360"/>
      <c r="B18" s="360"/>
      <c r="C18" s="360"/>
      <c r="D18" s="360"/>
      <c r="E18" s="360"/>
      <c r="F18" s="360"/>
      <c r="G18" s="360"/>
      <c r="H18" s="360"/>
      <c r="I18" s="360"/>
    </row>
    <row r="19" spans="1:9" s="114" customFormat="1" ht="52.9" customHeight="1" x14ac:dyDescent="0.2">
      <c r="A19" s="268" t="s">
        <v>342</v>
      </c>
      <c r="B19" s="445" t="s">
        <v>422</v>
      </c>
      <c r="C19" s="446"/>
      <c r="D19" s="192" t="s">
        <v>184</v>
      </c>
      <c r="E19" s="192" t="s">
        <v>185</v>
      </c>
      <c r="F19" s="192" t="s">
        <v>259</v>
      </c>
      <c r="G19" s="192" t="s">
        <v>187</v>
      </c>
      <c r="H19" s="193" t="s">
        <v>188</v>
      </c>
      <c r="I19" s="199" t="s">
        <v>189</v>
      </c>
    </row>
    <row r="20" spans="1:9" s="114" customFormat="1" ht="100.15" customHeight="1" x14ac:dyDescent="0.2">
      <c r="A20" s="200" t="s">
        <v>13</v>
      </c>
      <c r="B20" s="456" t="s">
        <v>415</v>
      </c>
      <c r="C20" s="457"/>
      <c r="D20" s="247" t="s">
        <v>423</v>
      </c>
      <c r="E20" s="247">
        <v>1</v>
      </c>
      <c r="F20" s="248">
        <v>60</v>
      </c>
      <c r="G20" s="134">
        <f>12/F20*E20</f>
        <v>0.2</v>
      </c>
      <c r="H20" s="243">
        <v>4000</v>
      </c>
      <c r="I20" s="201">
        <f t="shared" ref="I20:I25" si="0">G20*H20</f>
        <v>800</v>
      </c>
    </row>
    <row r="21" spans="1:9" s="114" customFormat="1" ht="12.75" customHeight="1" x14ac:dyDescent="0.2">
      <c r="A21" s="200" t="s">
        <v>15</v>
      </c>
      <c r="B21" s="437" t="s">
        <v>423</v>
      </c>
      <c r="C21" s="438"/>
      <c r="D21" s="247" t="s">
        <v>423</v>
      </c>
      <c r="E21" s="247"/>
      <c r="F21" s="248"/>
      <c r="G21" s="134"/>
      <c r="H21" s="243"/>
      <c r="I21" s="201">
        <f t="shared" si="0"/>
        <v>0</v>
      </c>
    </row>
    <row r="22" spans="1:9" s="114" customFormat="1" ht="12.75" customHeight="1" x14ac:dyDescent="0.2">
      <c r="A22" s="200" t="s">
        <v>17</v>
      </c>
      <c r="B22" s="437" t="s">
        <v>423</v>
      </c>
      <c r="C22" s="438"/>
      <c r="D22" s="247" t="s">
        <v>423</v>
      </c>
      <c r="E22" s="247"/>
      <c r="F22" s="248"/>
      <c r="G22" s="134"/>
      <c r="H22" s="243"/>
      <c r="I22" s="201">
        <f t="shared" si="0"/>
        <v>0</v>
      </c>
    </row>
    <row r="23" spans="1:9" s="114" customFormat="1" ht="12.75" customHeight="1" x14ac:dyDescent="0.2">
      <c r="A23" s="200" t="s">
        <v>19</v>
      </c>
      <c r="B23" s="437" t="s">
        <v>423</v>
      </c>
      <c r="C23" s="438"/>
      <c r="D23" s="247" t="s">
        <v>423</v>
      </c>
      <c r="E23" s="247"/>
      <c r="F23" s="248"/>
      <c r="G23" s="134"/>
      <c r="H23" s="243"/>
      <c r="I23" s="201">
        <f t="shared" si="0"/>
        <v>0</v>
      </c>
    </row>
    <row r="24" spans="1:9" s="114" customFormat="1" ht="12.75" customHeight="1" x14ac:dyDescent="0.2">
      <c r="A24" s="200" t="s">
        <v>49</v>
      </c>
      <c r="B24" s="437" t="s">
        <v>423</v>
      </c>
      <c r="C24" s="438"/>
      <c r="D24" s="247" t="s">
        <v>423</v>
      </c>
      <c r="E24" s="247"/>
      <c r="F24" s="248"/>
      <c r="G24" s="134"/>
      <c r="H24" s="243"/>
      <c r="I24" s="201">
        <f t="shared" si="0"/>
        <v>0</v>
      </c>
    </row>
    <row r="25" spans="1:9" s="114" customFormat="1" ht="12.75" customHeight="1" x14ac:dyDescent="0.2">
      <c r="A25" s="200" t="s">
        <v>50</v>
      </c>
      <c r="B25" s="437" t="s">
        <v>423</v>
      </c>
      <c r="C25" s="438"/>
      <c r="D25" s="247" t="s">
        <v>423</v>
      </c>
      <c r="E25" s="247"/>
      <c r="F25" s="248"/>
      <c r="G25" s="134"/>
      <c r="H25" s="243"/>
      <c r="I25" s="201">
        <f t="shared" si="0"/>
        <v>0</v>
      </c>
    </row>
    <row r="26" spans="1:9" s="114" customFormat="1" ht="12.75" x14ac:dyDescent="0.2">
      <c r="A26" s="200" t="s">
        <v>51</v>
      </c>
      <c r="B26" s="437" t="s">
        <v>423</v>
      </c>
      <c r="C26" s="438"/>
      <c r="D26" s="247" t="s">
        <v>423</v>
      </c>
      <c r="E26" s="247"/>
      <c r="F26" s="248"/>
      <c r="G26" s="134"/>
      <c r="H26" s="243"/>
      <c r="I26" s="201">
        <f>G26*H26</f>
        <v>0</v>
      </c>
    </row>
    <row r="27" spans="1:9" s="114" customFormat="1" ht="12.75" x14ac:dyDescent="0.2">
      <c r="A27" s="200" t="s">
        <v>53</v>
      </c>
      <c r="B27" s="437" t="s">
        <v>423</v>
      </c>
      <c r="C27" s="438"/>
      <c r="D27" s="247" t="s">
        <v>423</v>
      </c>
      <c r="E27" s="247"/>
      <c r="F27" s="248"/>
      <c r="G27" s="134"/>
      <c r="H27" s="243"/>
      <c r="I27" s="201">
        <f>G27*H27</f>
        <v>0</v>
      </c>
    </row>
    <row r="28" spans="1:9" s="114" customFormat="1" ht="12.75" x14ac:dyDescent="0.2">
      <c r="A28" s="200" t="s">
        <v>219</v>
      </c>
      <c r="B28" s="437" t="s">
        <v>423</v>
      </c>
      <c r="C28" s="438"/>
      <c r="D28" s="247" t="s">
        <v>423</v>
      </c>
      <c r="E28" s="247"/>
      <c r="F28" s="248"/>
      <c r="G28" s="134"/>
      <c r="H28" s="243"/>
      <c r="I28" s="201">
        <f>G28*H28</f>
        <v>0</v>
      </c>
    </row>
    <row r="29" spans="1:9" s="114" customFormat="1" ht="12.75" x14ac:dyDescent="0.2">
      <c r="A29" s="200" t="s">
        <v>343</v>
      </c>
      <c r="B29" s="437" t="s">
        <v>423</v>
      </c>
      <c r="C29" s="438"/>
      <c r="D29" s="247" t="s">
        <v>423</v>
      </c>
      <c r="E29" s="247"/>
      <c r="F29" s="248"/>
      <c r="G29" s="134"/>
      <c r="H29" s="243"/>
      <c r="I29" s="201">
        <f>G29*H29</f>
        <v>0</v>
      </c>
    </row>
    <row r="30" spans="1:9" s="114" customFormat="1" ht="14.65" customHeight="1" x14ac:dyDescent="0.2">
      <c r="A30" s="434" t="s">
        <v>257</v>
      </c>
      <c r="B30" s="435"/>
      <c r="C30" s="435"/>
      <c r="D30" s="435"/>
      <c r="E30" s="435"/>
      <c r="F30" s="435"/>
      <c r="G30" s="435"/>
      <c r="H30" s="436"/>
      <c r="I30" s="202">
        <f>SUM(I20:I29)</f>
        <v>800</v>
      </c>
    </row>
    <row r="31" spans="1:9" s="114" customFormat="1" ht="14.65" customHeight="1" x14ac:dyDescent="0.2">
      <c r="A31" s="434" t="s">
        <v>258</v>
      </c>
      <c r="B31" s="435"/>
      <c r="C31" s="435"/>
      <c r="D31" s="435"/>
      <c r="E31" s="435"/>
      <c r="F31" s="435"/>
      <c r="G31" s="435"/>
      <c r="H31" s="436"/>
      <c r="I31" s="203">
        <f>ROUND(I30/12,2)</f>
        <v>66.67</v>
      </c>
    </row>
    <row r="32" spans="1:9" ht="5.0999999999999996" customHeight="1" x14ac:dyDescent="0.2">
      <c r="A32" s="360"/>
      <c r="B32" s="360"/>
      <c r="C32" s="360"/>
      <c r="D32" s="360"/>
      <c r="E32" s="360"/>
      <c r="F32" s="360"/>
      <c r="G32" s="360"/>
      <c r="H32" s="360"/>
      <c r="I32" s="360"/>
    </row>
    <row r="33" spans="1:9" s="114" customFormat="1" ht="52.9" customHeight="1" x14ac:dyDescent="0.2">
      <c r="A33" s="268" t="s">
        <v>344</v>
      </c>
      <c r="B33" s="445" t="s">
        <v>421</v>
      </c>
      <c r="C33" s="446"/>
      <c r="D33" s="192" t="s">
        <v>184</v>
      </c>
      <c r="E33" s="192" t="s">
        <v>185</v>
      </c>
      <c r="F33" s="192" t="s">
        <v>256</v>
      </c>
      <c r="G33" s="192" t="s">
        <v>187</v>
      </c>
      <c r="H33" s="193" t="s">
        <v>188</v>
      </c>
      <c r="I33" s="199" t="s">
        <v>189</v>
      </c>
    </row>
    <row r="34" spans="1:9" s="114" customFormat="1" ht="141.75" customHeight="1" x14ac:dyDescent="0.2">
      <c r="A34" s="200" t="s">
        <v>13</v>
      </c>
      <c r="B34" s="456" t="s">
        <v>426</v>
      </c>
      <c r="C34" s="457"/>
      <c r="D34" s="247" t="s">
        <v>423</v>
      </c>
      <c r="E34" s="249">
        <v>1</v>
      </c>
      <c r="F34" s="248">
        <v>60</v>
      </c>
      <c r="G34" s="134">
        <f>12/F34*E34</f>
        <v>0.2</v>
      </c>
      <c r="H34" s="243">
        <v>4000</v>
      </c>
      <c r="I34" s="201">
        <f t="shared" ref="I34:I43" si="1">G34*H34</f>
        <v>800</v>
      </c>
    </row>
    <row r="35" spans="1:9" s="114" customFormat="1" ht="12.75" customHeight="1" x14ac:dyDescent="0.2">
      <c r="A35" s="200" t="s">
        <v>15</v>
      </c>
      <c r="B35" s="437" t="s">
        <v>423</v>
      </c>
      <c r="C35" s="438"/>
      <c r="D35" s="247" t="s">
        <v>423</v>
      </c>
      <c r="E35" s="249"/>
      <c r="F35" s="248"/>
      <c r="G35" s="134"/>
      <c r="H35" s="243"/>
      <c r="I35" s="201">
        <f t="shared" si="1"/>
        <v>0</v>
      </c>
    </row>
    <row r="36" spans="1:9" s="114" customFormat="1" ht="12.75" customHeight="1" x14ac:dyDescent="0.2">
      <c r="A36" s="200" t="s">
        <v>17</v>
      </c>
      <c r="B36" s="437" t="s">
        <v>423</v>
      </c>
      <c r="C36" s="438"/>
      <c r="D36" s="247" t="s">
        <v>423</v>
      </c>
      <c r="E36" s="249"/>
      <c r="F36" s="248"/>
      <c r="G36" s="134"/>
      <c r="H36" s="243"/>
      <c r="I36" s="201">
        <f t="shared" si="1"/>
        <v>0</v>
      </c>
    </row>
    <row r="37" spans="1:9" s="114" customFormat="1" ht="12.75" x14ac:dyDescent="0.2">
      <c r="A37" s="200" t="s">
        <v>19</v>
      </c>
      <c r="B37" s="437" t="s">
        <v>423</v>
      </c>
      <c r="C37" s="438"/>
      <c r="D37" s="247" t="s">
        <v>423</v>
      </c>
      <c r="E37" s="249"/>
      <c r="F37" s="248"/>
      <c r="G37" s="134"/>
      <c r="H37" s="243"/>
      <c r="I37" s="201">
        <f t="shared" si="1"/>
        <v>0</v>
      </c>
    </row>
    <row r="38" spans="1:9" s="114" customFormat="1" ht="12.75" customHeight="1" x14ac:dyDescent="0.2">
      <c r="A38" s="200" t="s">
        <v>49</v>
      </c>
      <c r="B38" s="437" t="s">
        <v>423</v>
      </c>
      <c r="C38" s="438"/>
      <c r="D38" s="247" t="s">
        <v>423</v>
      </c>
      <c r="E38" s="249"/>
      <c r="F38" s="248"/>
      <c r="G38" s="134"/>
      <c r="H38" s="243"/>
      <c r="I38" s="201">
        <f t="shared" si="1"/>
        <v>0</v>
      </c>
    </row>
    <row r="39" spans="1:9" s="114" customFormat="1" ht="12.75" x14ac:dyDescent="0.2">
      <c r="A39" s="200" t="s">
        <v>50</v>
      </c>
      <c r="B39" s="437" t="s">
        <v>423</v>
      </c>
      <c r="C39" s="438"/>
      <c r="D39" s="247" t="s">
        <v>423</v>
      </c>
      <c r="E39" s="247"/>
      <c r="F39" s="248"/>
      <c r="G39" s="134"/>
      <c r="H39" s="243"/>
      <c r="I39" s="201">
        <f t="shared" si="1"/>
        <v>0</v>
      </c>
    </row>
    <row r="40" spans="1:9" s="114" customFormat="1" ht="12.75" x14ac:dyDescent="0.2">
      <c r="A40" s="200" t="s">
        <v>51</v>
      </c>
      <c r="B40" s="437" t="s">
        <v>423</v>
      </c>
      <c r="C40" s="438"/>
      <c r="D40" s="247" t="s">
        <v>423</v>
      </c>
      <c r="E40" s="247"/>
      <c r="F40" s="248"/>
      <c r="G40" s="134"/>
      <c r="H40" s="243"/>
      <c r="I40" s="201">
        <f t="shared" si="1"/>
        <v>0</v>
      </c>
    </row>
    <row r="41" spans="1:9" s="114" customFormat="1" ht="12.75" x14ac:dyDescent="0.2">
      <c r="A41" s="200" t="s">
        <v>53</v>
      </c>
      <c r="B41" s="437" t="s">
        <v>423</v>
      </c>
      <c r="C41" s="438"/>
      <c r="D41" s="247" t="s">
        <v>423</v>
      </c>
      <c r="E41" s="247"/>
      <c r="F41" s="248"/>
      <c r="G41" s="134"/>
      <c r="H41" s="243"/>
      <c r="I41" s="201">
        <f t="shared" si="1"/>
        <v>0</v>
      </c>
    </row>
    <row r="42" spans="1:9" s="114" customFormat="1" ht="12.75" x14ac:dyDescent="0.2">
      <c r="A42" s="200" t="s">
        <v>219</v>
      </c>
      <c r="B42" s="437" t="s">
        <v>423</v>
      </c>
      <c r="C42" s="438"/>
      <c r="D42" s="247" t="s">
        <v>423</v>
      </c>
      <c r="E42" s="247"/>
      <c r="F42" s="248"/>
      <c r="G42" s="134"/>
      <c r="H42" s="243"/>
      <c r="I42" s="201">
        <f t="shared" si="1"/>
        <v>0</v>
      </c>
    </row>
    <row r="43" spans="1:9" s="114" customFormat="1" ht="12.75" x14ac:dyDescent="0.2">
      <c r="A43" s="200" t="s">
        <v>343</v>
      </c>
      <c r="B43" s="437" t="s">
        <v>423</v>
      </c>
      <c r="C43" s="438"/>
      <c r="D43" s="247" t="s">
        <v>423</v>
      </c>
      <c r="E43" s="250"/>
      <c r="F43" s="248"/>
      <c r="G43" s="134"/>
      <c r="H43" s="243"/>
      <c r="I43" s="201">
        <f t="shared" si="1"/>
        <v>0</v>
      </c>
    </row>
    <row r="44" spans="1:9" s="114" customFormat="1" ht="14.65" customHeight="1" x14ac:dyDescent="0.2">
      <c r="A44" s="434" t="s">
        <v>216</v>
      </c>
      <c r="B44" s="435"/>
      <c r="C44" s="435"/>
      <c r="D44" s="435"/>
      <c r="E44" s="435"/>
      <c r="F44" s="435"/>
      <c r="G44" s="435"/>
      <c r="H44" s="436"/>
      <c r="I44" s="202">
        <f>SUM(I34:I43)</f>
        <v>800</v>
      </c>
    </row>
    <row r="45" spans="1:9" s="114" customFormat="1" ht="14.65" customHeight="1" x14ac:dyDescent="0.2">
      <c r="A45" s="434" t="s">
        <v>217</v>
      </c>
      <c r="B45" s="435"/>
      <c r="C45" s="435"/>
      <c r="D45" s="435"/>
      <c r="E45" s="435"/>
      <c r="F45" s="435"/>
      <c r="G45" s="435"/>
      <c r="H45" s="436"/>
      <c r="I45" s="203">
        <f>ROUND(I44/12,2)</f>
        <v>66.67</v>
      </c>
    </row>
    <row r="46" spans="1:9" ht="5.0999999999999996" customHeight="1" x14ac:dyDescent="0.2">
      <c r="A46" s="360"/>
      <c r="B46" s="360"/>
      <c r="C46" s="360"/>
      <c r="D46" s="360"/>
      <c r="E46" s="360"/>
      <c r="F46" s="360"/>
      <c r="G46" s="360"/>
      <c r="H46" s="360"/>
      <c r="I46" s="360"/>
    </row>
    <row r="47" spans="1:9" s="114" customFormat="1" ht="40.15" customHeight="1" x14ac:dyDescent="0.2">
      <c r="A47" s="268" t="s">
        <v>347</v>
      </c>
      <c r="B47" s="445" t="s">
        <v>420</v>
      </c>
      <c r="C47" s="446"/>
      <c r="D47" s="192" t="s">
        <v>184</v>
      </c>
      <c r="E47" s="192" t="s">
        <v>185</v>
      </c>
      <c r="F47" s="192" t="s">
        <v>186</v>
      </c>
      <c r="G47" s="192" t="s">
        <v>187</v>
      </c>
      <c r="H47" s="193" t="s">
        <v>188</v>
      </c>
      <c r="I47" s="199" t="s">
        <v>189</v>
      </c>
    </row>
    <row r="48" spans="1:9" s="114" customFormat="1" ht="72" customHeight="1" x14ac:dyDescent="0.2">
      <c r="A48" s="200" t="s">
        <v>13</v>
      </c>
      <c r="B48" s="443" t="s">
        <v>417</v>
      </c>
      <c r="C48" s="444"/>
      <c r="D48" s="249" t="s">
        <v>191</v>
      </c>
      <c r="E48" s="249">
        <v>1</v>
      </c>
      <c r="F48" s="251">
        <v>60</v>
      </c>
      <c r="G48" s="134">
        <f t="shared" ref="G48:G53" si="2">12/F48*E48</f>
        <v>0.2</v>
      </c>
      <c r="H48" s="245">
        <v>2428.9</v>
      </c>
      <c r="I48" s="201">
        <f t="shared" ref="I48:I53" si="3">G48*H48</f>
        <v>485.78000000000003</v>
      </c>
    </row>
    <row r="49" spans="1:9" s="114" customFormat="1" ht="12.75" customHeight="1" x14ac:dyDescent="0.2">
      <c r="A49" s="200" t="s">
        <v>15</v>
      </c>
      <c r="B49" s="443" t="s">
        <v>412</v>
      </c>
      <c r="C49" s="444"/>
      <c r="D49" s="249" t="s">
        <v>191</v>
      </c>
      <c r="E49" s="249">
        <v>1</v>
      </c>
      <c r="F49" s="251">
        <v>60</v>
      </c>
      <c r="G49" s="134">
        <f t="shared" si="2"/>
        <v>0.2</v>
      </c>
      <c r="H49" s="245">
        <v>2749.9</v>
      </c>
      <c r="I49" s="201">
        <f t="shared" si="3"/>
        <v>549.98</v>
      </c>
    </row>
    <row r="50" spans="1:9" s="114" customFormat="1" ht="52.5" customHeight="1" x14ac:dyDescent="0.2">
      <c r="A50" s="200" t="s">
        <v>17</v>
      </c>
      <c r="B50" s="443" t="s">
        <v>416</v>
      </c>
      <c r="C50" s="444"/>
      <c r="D50" s="249" t="s">
        <v>191</v>
      </c>
      <c r="E50" s="249">
        <v>21</v>
      </c>
      <c r="F50" s="251">
        <v>60</v>
      </c>
      <c r="G50" s="134">
        <f t="shared" si="2"/>
        <v>4.2</v>
      </c>
      <c r="H50" s="245">
        <v>372</v>
      </c>
      <c r="I50" s="201">
        <f t="shared" si="3"/>
        <v>1562.4</v>
      </c>
    </row>
    <row r="51" spans="1:9" s="114" customFormat="1" ht="51" customHeight="1" x14ac:dyDescent="0.2">
      <c r="A51" s="200" t="s">
        <v>19</v>
      </c>
      <c r="B51" s="443" t="s">
        <v>418</v>
      </c>
      <c r="C51" s="444"/>
      <c r="D51" s="249" t="s">
        <v>191</v>
      </c>
      <c r="E51" s="249">
        <v>3</v>
      </c>
      <c r="F51" s="251">
        <v>60</v>
      </c>
      <c r="G51" s="134">
        <f t="shared" si="2"/>
        <v>0.60000000000000009</v>
      </c>
      <c r="H51" s="245">
        <v>1488.56</v>
      </c>
      <c r="I51" s="201">
        <f t="shared" si="3"/>
        <v>893.13600000000008</v>
      </c>
    </row>
    <row r="52" spans="1:9" s="114" customFormat="1" ht="26.25" customHeight="1" x14ac:dyDescent="0.2">
      <c r="A52" s="200" t="s">
        <v>49</v>
      </c>
      <c r="B52" s="443" t="s">
        <v>413</v>
      </c>
      <c r="C52" s="444"/>
      <c r="D52" s="249" t="s">
        <v>191</v>
      </c>
      <c r="E52" s="249">
        <v>2</v>
      </c>
      <c r="F52" s="251">
        <v>60</v>
      </c>
      <c r="G52" s="134">
        <f t="shared" si="2"/>
        <v>0.4</v>
      </c>
      <c r="H52" s="245">
        <v>1376.55</v>
      </c>
      <c r="I52" s="201">
        <f t="shared" si="3"/>
        <v>550.62</v>
      </c>
    </row>
    <row r="53" spans="1:9" s="114" customFormat="1" ht="12.75" customHeight="1" x14ac:dyDescent="0.2">
      <c r="A53" s="200" t="s">
        <v>50</v>
      </c>
      <c r="B53" s="443" t="s">
        <v>414</v>
      </c>
      <c r="C53" s="444"/>
      <c r="D53" s="249" t="s">
        <v>191</v>
      </c>
      <c r="E53" s="249">
        <v>7</v>
      </c>
      <c r="F53" s="251">
        <v>60</v>
      </c>
      <c r="G53" s="134">
        <f t="shared" si="2"/>
        <v>1.4000000000000001</v>
      </c>
      <c r="H53" s="245">
        <v>95.9</v>
      </c>
      <c r="I53" s="201">
        <f t="shared" si="3"/>
        <v>134.26000000000002</v>
      </c>
    </row>
    <row r="54" spans="1:9" s="114" customFormat="1" ht="52.5" customHeight="1" x14ac:dyDescent="0.2">
      <c r="A54" s="200" t="s">
        <v>51</v>
      </c>
      <c r="B54" s="443" t="s">
        <v>419</v>
      </c>
      <c r="C54" s="444"/>
      <c r="D54" s="249" t="s">
        <v>191</v>
      </c>
      <c r="E54" s="249">
        <v>2</v>
      </c>
      <c r="F54" s="251">
        <v>60</v>
      </c>
      <c r="G54" s="134">
        <f>12/F54*E54</f>
        <v>0.4</v>
      </c>
      <c r="H54" s="245">
        <v>4845.8999999999996</v>
      </c>
      <c r="I54" s="201">
        <f t="shared" ref="I54:I61" si="4">G54*H54</f>
        <v>1938.36</v>
      </c>
    </row>
    <row r="55" spans="1:9" s="114" customFormat="1" ht="12.75" customHeight="1" x14ac:dyDescent="0.2">
      <c r="A55" s="200" t="s">
        <v>53</v>
      </c>
      <c r="B55" s="437" t="s">
        <v>423</v>
      </c>
      <c r="C55" s="438"/>
      <c r="D55" s="247" t="s">
        <v>423</v>
      </c>
      <c r="E55" s="249"/>
      <c r="F55" s="251"/>
      <c r="G55" s="134"/>
      <c r="H55" s="245"/>
      <c r="I55" s="201">
        <f>G55*H55</f>
        <v>0</v>
      </c>
    </row>
    <row r="56" spans="1:9" s="114" customFormat="1" ht="12.75" customHeight="1" x14ac:dyDescent="0.2">
      <c r="A56" s="200" t="s">
        <v>219</v>
      </c>
      <c r="B56" s="437" t="s">
        <v>423</v>
      </c>
      <c r="C56" s="438"/>
      <c r="D56" s="247" t="s">
        <v>423</v>
      </c>
      <c r="E56" s="249"/>
      <c r="F56" s="251"/>
      <c r="G56" s="134"/>
      <c r="H56" s="245"/>
      <c r="I56" s="201">
        <f t="shared" si="4"/>
        <v>0</v>
      </c>
    </row>
    <row r="57" spans="1:9" s="114" customFormat="1" ht="12.75" x14ac:dyDescent="0.2">
      <c r="A57" s="200" t="s">
        <v>343</v>
      </c>
      <c r="B57" s="437" t="s">
        <v>423</v>
      </c>
      <c r="C57" s="438"/>
      <c r="D57" s="247" t="s">
        <v>423</v>
      </c>
      <c r="E57" s="252"/>
      <c r="F57" s="251"/>
      <c r="G57" s="134"/>
      <c r="H57" s="245"/>
      <c r="I57" s="201">
        <f t="shared" si="4"/>
        <v>0</v>
      </c>
    </row>
    <row r="58" spans="1:9" s="114" customFormat="1" ht="12.75" x14ac:dyDescent="0.2">
      <c r="A58" s="200" t="s">
        <v>408</v>
      </c>
      <c r="B58" s="437" t="s">
        <v>423</v>
      </c>
      <c r="C58" s="438"/>
      <c r="D58" s="247" t="s">
        <v>423</v>
      </c>
      <c r="E58" s="252"/>
      <c r="F58" s="251"/>
      <c r="G58" s="134"/>
      <c r="H58" s="245"/>
      <c r="I58" s="201">
        <f t="shared" si="4"/>
        <v>0</v>
      </c>
    </row>
    <row r="59" spans="1:9" s="114" customFormat="1" ht="12.75" x14ac:dyDescent="0.2">
      <c r="A59" s="200" t="s">
        <v>409</v>
      </c>
      <c r="B59" s="437" t="s">
        <v>423</v>
      </c>
      <c r="C59" s="438"/>
      <c r="D59" s="247" t="s">
        <v>423</v>
      </c>
      <c r="E59" s="252"/>
      <c r="F59" s="251"/>
      <c r="G59" s="134"/>
      <c r="H59" s="245"/>
      <c r="I59" s="201">
        <f t="shared" si="4"/>
        <v>0</v>
      </c>
    </row>
    <row r="60" spans="1:9" s="114" customFormat="1" ht="12.75" x14ac:dyDescent="0.2">
      <c r="A60" s="200" t="s">
        <v>410</v>
      </c>
      <c r="B60" s="437" t="s">
        <v>423</v>
      </c>
      <c r="C60" s="438"/>
      <c r="D60" s="247" t="s">
        <v>423</v>
      </c>
      <c r="E60" s="252"/>
      <c r="F60" s="251"/>
      <c r="G60" s="134"/>
      <c r="H60" s="245"/>
      <c r="I60" s="201">
        <f t="shared" si="4"/>
        <v>0</v>
      </c>
    </row>
    <row r="61" spans="1:9" s="114" customFormat="1" ht="12.75" x14ac:dyDescent="0.2">
      <c r="A61" s="200" t="s">
        <v>411</v>
      </c>
      <c r="B61" s="437" t="s">
        <v>423</v>
      </c>
      <c r="C61" s="438"/>
      <c r="D61" s="247" t="s">
        <v>423</v>
      </c>
      <c r="E61" s="252"/>
      <c r="F61" s="251"/>
      <c r="G61" s="134"/>
      <c r="H61" s="245"/>
      <c r="I61" s="201">
        <f t="shared" si="4"/>
        <v>0</v>
      </c>
    </row>
    <row r="62" spans="1:9" s="114" customFormat="1" ht="12.75" x14ac:dyDescent="0.2">
      <c r="A62" s="434" t="s">
        <v>197</v>
      </c>
      <c r="B62" s="435"/>
      <c r="C62" s="435"/>
      <c r="D62" s="435"/>
      <c r="E62" s="435"/>
      <c r="F62" s="435"/>
      <c r="G62" s="435"/>
      <c r="H62" s="436"/>
      <c r="I62" s="204">
        <f>SUM(I48:I61)</f>
        <v>6114.5359999999991</v>
      </c>
    </row>
    <row r="63" spans="1:9" s="114" customFormat="1" ht="12.75" customHeight="1" x14ac:dyDescent="0.2">
      <c r="A63" s="434" t="s">
        <v>198</v>
      </c>
      <c r="B63" s="435"/>
      <c r="C63" s="435"/>
      <c r="D63" s="435"/>
      <c r="E63" s="435"/>
      <c r="F63" s="435"/>
      <c r="G63" s="435"/>
      <c r="H63" s="436"/>
      <c r="I63" s="204">
        <f>I62/12</f>
        <v>509.54466666666661</v>
      </c>
    </row>
    <row r="64" spans="1:9" ht="5.0999999999999996" customHeight="1" x14ac:dyDescent="0.2">
      <c r="A64" s="360"/>
      <c r="B64" s="360"/>
      <c r="C64" s="360"/>
      <c r="D64" s="360"/>
      <c r="E64" s="360"/>
      <c r="F64" s="360"/>
      <c r="G64" s="360"/>
      <c r="H64" s="360"/>
      <c r="I64" s="360"/>
    </row>
    <row r="65" spans="1:10" s="114" customFormat="1" ht="24" x14ac:dyDescent="0.2">
      <c r="A65" s="268" t="s">
        <v>348</v>
      </c>
      <c r="B65" s="445" t="s">
        <v>407</v>
      </c>
      <c r="C65" s="447"/>
      <c r="D65" s="447"/>
      <c r="E65" s="446"/>
      <c r="F65" s="192" t="s">
        <v>184</v>
      </c>
      <c r="G65" s="192" t="s">
        <v>185</v>
      </c>
      <c r="H65" s="193" t="s">
        <v>340</v>
      </c>
      <c r="I65" s="199" t="s">
        <v>189</v>
      </c>
    </row>
    <row r="66" spans="1:10" s="114" customFormat="1" ht="51" customHeight="1" x14ac:dyDescent="0.2">
      <c r="A66" s="200" t="s">
        <v>13</v>
      </c>
      <c r="B66" s="448" t="s">
        <v>424</v>
      </c>
      <c r="C66" s="449"/>
      <c r="D66" s="449"/>
      <c r="E66" s="450"/>
      <c r="F66" s="247" t="s">
        <v>423</v>
      </c>
      <c r="G66" s="131">
        <v>1</v>
      </c>
      <c r="H66" s="243">
        <v>8499.57</v>
      </c>
      <c r="I66" s="201">
        <f>H66*12</f>
        <v>101994.84</v>
      </c>
      <c r="J66" s="19"/>
    </row>
    <row r="67" spans="1:10" s="114" customFormat="1" ht="12.75" x14ac:dyDescent="0.2">
      <c r="A67" s="200" t="s">
        <v>15</v>
      </c>
      <c r="B67" s="458" t="s">
        <v>423</v>
      </c>
      <c r="C67" s="459"/>
      <c r="D67" s="459"/>
      <c r="E67" s="460"/>
      <c r="F67" s="247" t="s">
        <v>423</v>
      </c>
      <c r="G67" s="131"/>
      <c r="H67" s="243"/>
      <c r="I67" s="201">
        <f>H67*12</f>
        <v>0</v>
      </c>
    </row>
    <row r="68" spans="1:10" s="114" customFormat="1" ht="12.75" customHeight="1" x14ac:dyDescent="0.2">
      <c r="A68" s="200" t="s">
        <v>17</v>
      </c>
      <c r="B68" s="458" t="s">
        <v>423</v>
      </c>
      <c r="C68" s="459"/>
      <c r="D68" s="459"/>
      <c r="E68" s="460"/>
      <c r="F68" s="247" t="s">
        <v>423</v>
      </c>
      <c r="G68" s="131"/>
      <c r="H68" s="243"/>
      <c r="I68" s="201">
        <f>H68*12</f>
        <v>0</v>
      </c>
    </row>
    <row r="69" spans="1:10" s="114" customFormat="1" ht="12.75" customHeight="1" x14ac:dyDescent="0.2">
      <c r="A69" s="200" t="s">
        <v>19</v>
      </c>
      <c r="B69" s="458" t="s">
        <v>423</v>
      </c>
      <c r="C69" s="459"/>
      <c r="D69" s="459"/>
      <c r="E69" s="460"/>
      <c r="F69" s="247" t="s">
        <v>423</v>
      </c>
      <c r="G69" s="131"/>
      <c r="H69" s="243"/>
      <c r="I69" s="201">
        <f>H69*12</f>
        <v>0</v>
      </c>
    </row>
    <row r="70" spans="1:10" s="114" customFormat="1" ht="12.75" customHeight="1" x14ac:dyDescent="0.2">
      <c r="A70" s="200" t="s">
        <v>49</v>
      </c>
      <c r="B70" s="458" t="s">
        <v>423</v>
      </c>
      <c r="C70" s="459"/>
      <c r="D70" s="459"/>
      <c r="E70" s="460"/>
      <c r="F70" s="247" t="s">
        <v>423</v>
      </c>
      <c r="G70" s="131"/>
      <c r="H70" s="243"/>
      <c r="I70" s="201">
        <f>H70*12</f>
        <v>0</v>
      </c>
    </row>
    <row r="71" spans="1:10" s="114" customFormat="1" ht="12.75" x14ac:dyDescent="0.2">
      <c r="A71" s="434" t="s">
        <v>345</v>
      </c>
      <c r="B71" s="435"/>
      <c r="C71" s="435"/>
      <c r="D71" s="435"/>
      <c r="E71" s="435"/>
      <c r="F71" s="435"/>
      <c r="G71" s="435"/>
      <c r="H71" s="436"/>
      <c r="I71" s="204">
        <f>SUM(I66:I70)</f>
        <v>101994.84</v>
      </c>
    </row>
    <row r="72" spans="1:10" s="114" customFormat="1" ht="12.75" customHeight="1" x14ac:dyDescent="0.2">
      <c r="A72" s="434" t="s">
        <v>346</v>
      </c>
      <c r="B72" s="435"/>
      <c r="C72" s="435"/>
      <c r="D72" s="435"/>
      <c r="E72" s="435"/>
      <c r="F72" s="435"/>
      <c r="G72" s="435"/>
      <c r="H72" s="436"/>
      <c r="I72" s="204">
        <f>I71/12</f>
        <v>8499.57</v>
      </c>
    </row>
    <row r="73" spans="1:10" ht="5.0999999999999996" customHeight="1" x14ac:dyDescent="0.2">
      <c r="A73" s="360"/>
      <c r="B73" s="360"/>
      <c r="C73" s="360"/>
      <c r="D73" s="360"/>
      <c r="E73" s="360"/>
      <c r="F73" s="360"/>
      <c r="G73" s="360"/>
      <c r="H73" s="360"/>
      <c r="I73" s="360"/>
    </row>
    <row r="74" spans="1:10" s="26" customFormat="1" ht="17.25" customHeight="1" x14ac:dyDescent="0.2">
      <c r="A74" s="354" t="s">
        <v>433</v>
      </c>
      <c r="B74" s="354"/>
      <c r="C74" s="354"/>
      <c r="D74" s="354"/>
      <c r="E74" s="354"/>
      <c r="F74" s="354"/>
      <c r="G74" s="354"/>
      <c r="H74" s="354"/>
      <c r="I74" s="354"/>
    </row>
    <row r="75" spans="1:10" ht="27" customHeight="1" x14ac:dyDescent="0.2">
      <c r="A75" s="41">
        <v>1</v>
      </c>
      <c r="B75" s="327" t="s">
        <v>352</v>
      </c>
      <c r="C75" s="327"/>
      <c r="D75" s="327"/>
      <c r="E75" s="327"/>
      <c r="F75" s="327"/>
      <c r="G75" s="327"/>
      <c r="H75" s="327"/>
      <c r="I75" s="41" t="s">
        <v>57</v>
      </c>
    </row>
    <row r="76" spans="1:10" ht="27.6" customHeight="1" x14ac:dyDescent="0.2">
      <c r="A76" s="269" t="s">
        <v>342</v>
      </c>
      <c r="B76" s="328" t="str">
        <f>B19</f>
        <v>INSUMOS (Insumos de Implantação e/ou benfeitorias - sem prazo de vida útil determinado, mas com rateio pelo período previsto de execução contratual)</v>
      </c>
      <c r="C76" s="328"/>
      <c r="D76" s="328"/>
      <c r="E76" s="328"/>
      <c r="F76" s="328"/>
      <c r="G76" s="328"/>
      <c r="H76" s="328"/>
      <c r="I76" s="152">
        <f>I31</f>
        <v>66.67</v>
      </c>
    </row>
    <row r="77" spans="1:10" ht="24" customHeight="1" x14ac:dyDescent="0.2">
      <c r="A77" s="269" t="s">
        <v>344</v>
      </c>
      <c r="B77" s="328" t="str">
        <f>B33</f>
        <v>MATERIAIS (materiais diversos que complementam os equipamentos a serem disponibilizados em comodato, sem depreciação, mas com vida util definida)</v>
      </c>
      <c r="C77" s="328"/>
      <c r="D77" s="328"/>
      <c r="E77" s="328"/>
      <c r="F77" s="328"/>
      <c r="G77" s="328"/>
      <c r="H77" s="328"/>
      <c r="I77" s="153">
        <f>I45</f>
        <v>66.67</v>
      </c>
    </row>
    <row r="78" spans="1:10" ht="15.75" customHeight="1" x14ac:dyDescent="0.2">
      <c r="A78" s="269" t="s">
        <v>347</v>
      </c>
      <c r="B78" s="328" t="str">
        <f>B47</f>
        <v>EQUIPAMENTOS FORNECIDOS EM COMODATO (equipamentos com depreciação definida)</v>
      </c>
      <c r="C78" s="328"/>
      <c r="D78" s="328"/>
      <c r="E78" s="328"/>
      <c r="F78" s="328"/>
      <c r="G78" s="328"/>
      <c r="H78" s="328"/>
      <c r="I78" s="153">
        <f>I63</f>
        <v>509.54466666666661</v>
      </c>
    </row>
    <row r="79" spans="1:10" ht="15.75" customHeight="1" x14ac:dyDescent="0.2">
      <c r="A79" s="269" t="s">
        <v>348</v>
      </c>
      <c r="B79" s="328" t="str">
        <f>B65</f>
        <v>OUTROS SERVIÇOS</v>
      </c>
      <c r="C79" s="328"/>
      <c r="D79" s="328"/>
      <c r="E79" s="328"/>
      <c r="F79" s="328"/>
      <c r="G79" s="328"/>
      <c r="H79" s="328"/>
      <c r="I79" s="153">
        <f>I72</f>
        <v>8499.57</v>
      </c>
    </row>
    <row r="80" spans="1:10" ht="15.75" customHeight="1" x14ac:dyDescent="0.2">
      <c r="A80" s="308" t="s">
        <v>105</v>
      </c>
      <c r="B80" s="308"/>
      <c r="C80" s="308"/>
      <c r="D80" s="308"/>
      <c r="E80" s="308"/>
      <c r="F80" s="308"/>
      <c r="G80" s="308"/>
      <c r="H80" s="308"/>
      <c r="I80" s="62">
        <f>ROUND(SUM(I76:I79),2)</f>
        <v>9142.4500000000007</v>
      </c>
    </row>
    <row r="81" spans="1:9" ht="5.0999999999999996" customHeight="1" x14ac:dyDescent="0.2">
      <c r="A81" s="360"/>
      <c r="B81" s="360"/>
      <c r="C81" s="360"/>
      <c r="D81" s="360"/>
      <c r="E81" s="360"/>
      <c r="F81" s="360"/>
      <c r="G81" s="360"/>
      <c r="H81" s="360"/>
      <c r="I81" s="360"/>
    </row>
    <row r="82" spans="1:9" ht="15.75" customHeight="1" x14ac:dyDescent="0.2">
      <c r="A82" s="323" t="s">
        <v>265</v>
      </c>
      <c r="B82" s="323"/>
      <c r="C82" s="323"/>
      <c r="D82" s="323"/>
      <c r="E82" s="323"/>
      <c r="F82" s="323"/>
      <c r="G82" s="323"/>
      <c r="H82" s="323"/>
      <c r="I82" s="323"/>
    </row>
    <row r="83" spans="1:9" ht="5.0999999999999996" customHeight="1" x14ac:dyDescent="0.2">
      <c r="A83" s="360"/>
      <c r="B83" s="360"/>
      <c r="C83" s="360"/>
      <c r="D83" s="360"/>
      <c r="E83" s="360"/>
      <c r="F83" s="360"/>
      <c r="G83" s="360"/>
      <c r="H83" s="360"/>
      <c r="I83" s="360"/>
    </row>
    <row r="84" spans="1:9" ht="15.75" x14ac:dyDescent="0.2">
      <c r="A84" s="324" t="s">
        <v>264</v>
      </c>
      <c r="B84" s="324"/>
      <c r="C84" s="324"/>
      <c r="D84" s="324"/>
      <c r="E84" s="324"/>
      <c r="F84" s="324"/>
      <c r="G84" s="324"/>
      <c r="H84" s="324"/>
      <c r="I84" s="324"/>
    </row>
    <row r="85" spans="1:9" ht="30" x14ac:dyDescent="0.2">
      <c r="A85" s="41">
        <v>2</v>
      </c>
      <c r="B85" s="325" t="s">
        <v>108</v>
      </c>
      <c r="C85" s="325"/>
      <c r="D85" s="325"/>
      <c r="E85" s="325"/>
      <c r="F85" s="325"/>
      <c r="G85" s="325"/>
      <c r="H85" s="5" t="s">
        <v>47</v>
      </c>
      <c r="I85" s="66" t="s">
        <v>61</v>
      </c>
    </row>
    <row r="86" spans="1:9" ht="50.65" customHeight="1" x14ac:dyDescent="0.2">
      <c r="A86" s="318" t="s">
        <v>260</v>
      </c>
      <c r="B86" s="318"/>
      <c r="C86" s="318"/>
      <c r="D86" s="318"/>
      <c r="E86" s="318"/>
      <c r="F86" s="318"/>
      <c r="G86" s="318"/>
      <c r="H86" s="67" t="s">
        <v>24</v>
      </c>
      <c r="I86" s="68">
        <f>I80</f>
        <v>9142.4500000000007</v>
      </c>
    </row>
    <row r="87" spans="1:9" ht="55.5" customHeight="1" x14ac:dyDescent="0.2">
      <c r="A87" s="42" t="s">
        <v>13</v>
      </c>
      <c r="B87" s="417" t="s">
        <v>341</v>
      </c>
      <c r="C87" s="417"/>
      <c r="D87" s="417"/>
      <c r="E87" s="417"/>
      <c r="F87" s="417"/>
      <c r="G87" s="417"/>
      <c r="H87" s="240">
        <v>0.06</v>
      </c>
      <c r="I87" s="31">
        <f>ROUND(H87*I86,2)</f>
        <v>548.54999999999995</v>
      </c>
    </row>
    <row r="88" spans="1:9" ht="50.65" customHeight="1" x14ac:dyDescent="0.2">
      <c r="A88" s="318" t="s">
        <v>261</v>
      </c>
      <c r="B88" s="318"/>
      <c r="C88" s="318"/>
      <c r="D88" s="318"/>
      <c r="E88" s="318"/>
      <c r="F88" s="318"/>
      <c r="G88" s="318"/>
      <c r="H88" s="69" t="s">
        <v>24</v>
      </c>
      <c r="I88" s="68">
        <f>I80+I87</f>
        <v>9691</v>
      </c>
    </row>
    <row r="89" spans="1:9" ht="15.75" customHeight="1" x14ac:dyDescent="0.2">
      <c r="A89" s="42" t="s">
        <v>15</v>
      </c>
      <c r="B89" s="319" t="s">
        <v>112</v>
      </c>
      <c r="C89" s="319"/>
      <c r="D89" s="319"/>
      <c r="E89" s="319"/>
      <c r="F89" s="319"/>
      <c r="G89" s="319"/>
      <c r="H89" s="240">
        <v>6.7900000000000002E-2</v>
      </c>
      <c r="I89" s="31">
        <f>ROUND(H89*I88,2)</f>
        <v>658.02</v>
      </c>
    </row>
    <row r="90" spans="1:9" ht="48.75" customHeight="1" x14ac:dyDescent="0.2">
      <c r="A90" s="318" t="s">
        <v>262</v>
      </c>
      <c r="B90" s="318"/>
      <c r="C90" s="318"/>
      <c r="D90" s="318"/>
      <c r="E90" s="318"/>
      <c r="F90" s="318"/>
      <c r="G90" s="318"/>
      <c r="H90" s="69" t="s">
        <v>24</v>
      </c>
      <c r="I90" s="68">
        <f>SUM(I86+I87+I89)</f>
        <v>10349.02</v>
      </c>
    </row>
    <row r="91" spans="1:9" ht="17.100000000000001" customHeight="1" x14ac:dyDescent="0.2">
      <c r="A91" s="70" t="s">
        <v>17</v>
      </c>
      <c r="B91" s="320" t="s">
        <v>114</v>
      </c>
      <c r="C91" s="320"/>
      <c r="D91" s="320"/>
      <c r="E91" s="320"/>
      <c r="F91" s="320"/>
      <c r="G91" s="320"/>
      <c r="H91" s="71" t="s">
        <v>24</v>
      </c>
      <c r="I91" s="18" t="s">
        <v>24</v>
      </c>
    </row>
    <row r="92" spans="1:9" ht="12.75" x14ac:dyDescent="0.2">
      <c r="A92" s="42"/>
      <c r="B92" s="321" t="s">
        <v>115</v>
      </c>
      <c r="C92" s="321"/>
      <c r="D92" s="321"/>
      <c r="E92" s="321"/>
      <c r="F92" s="321"/>
      <c r="G92" s="321"/>
      <c r="H92" s="71" t="s">
        <v>24</v>
      </c>
      <c r="I92" s="18" t="s">
        <v>24</v>
      </c>
    </row>
    <row r="93" spans="1:9" ht="22.5" customHeight="1" x14ac:dyDescent="0.2">
      <c r="A93" s="42"/>
      <c r="B93" s="314" t="s">
        <v>116</v>
      </c>
      <c r="C93" s="314"/>
      <c r="D93" s="314"/>
      <c r="E93" s="314"/>
      <c r="F93" s="314"/>
      <c r="G93" s="314"/>
      <c r="H93" s="241">
        <v>0.03</v>
      </c>
      <c r="I93" s="72">
        <f>ROUND(($I$90/(1-$H$102))*H93,2)</f>
        <v>329.06</v>
      </c>
    </row>
    <row r="94" spans="1:9" ht="22.5" customHeight="1" x14ac:dyDescent="0.2">
      <c r="A94" s="42"/>
      <c r="B94" s="314" t="s">
        <v>117</v>
      </c>
      <c r="C94" s="314"/>
      <c r="D94" s="314"/>
      <c r="E94" s="314"/>
      <c r="F94" s="314"/>
      <c r="G94" s="314"/>
      <c r="H94" s="241">
        <v>6.4999999999999997E-3</v>
      </c>
      <c r="I94" s="72">
        <f>ROUND(($I$90/(1-$H$102))*H94,2)</f>
        <v>71.3</v>
      </c>
    </row>
    <row r="95" spans="1:9" ht="29.25" customHeight="1" x14ac:dyDescent="0.2">
      <c r="A95" s="42"/>
      <c r="B95" s="315" t="s">
        <v>0</v>
      </c>
      <c r="C95" s="315"/>
      <c r="D95" s="315"/>
      <c r="E95" s="315"/>
      <c r="F95" s="315"/>
      <c r="G95" s="315"/>
      <c r="H95" s="73" t="s">
        <v>24</v>
      </c>
      <c r="I95" s="18" t="s">
        <v>24</v>
      </c>
    </row>
    <row r="96" spans="1:9" ht="29.25" customHeight="1" x14ac:dyDescent="0.2">
      <c r="A96" s="42"/>
      <c r="B96" s="315" t="s">
        <v>1</v>
      </c>
      <c r="C96" s="315"/>
      <c r="D96" s="315"/>
      <c r="E96" s="315"/>
      <c r="F96" s="315"/>
      <c r="G96" s="315"/>
      <c r="H96" s="73" t="s">
        <v>24</v>
      </c>
      <c r="I96" s="18" t="s">
        <v>24</v>
      </c>
    </row>
    <row r="97" spans="1:10" ht="18" customHeight="1" x14ac:dyDescent="0.2">
      <c r="A97" s="42"/>
      <c r="B97" s="316" t="s">
        <v>118</v>
      </c>
      <c r="C97" s="316"/>
      <c r="D97" s="316"/>
      <c r="E97" s="316"/>
      <c r="F97" s="316"/>
      <c r="G97" s="316"/>
      <c r="H97" s="74" t="s">
        <v>24</v>
      </c>
      <c r="I97" s="75" t="s">
        <v>24</v>
      </c>
    </row>
    <row r="98" spans="1:10" ht="18" customHeight="1" x14ac:dyDescent="0.2">
      <c r="A98" s="42"/>
      <c r="B98" s="316" t="s">
        <v>119</v>
      </c>
      <c r="C98" s="316"/>
      <c r="D98" s="316"/>
      <c r="E98" s="316"/>
      <c r="F98" s="316"/>
      <c r="G98" s="316"/>
      <c r="H98" s="74" t="s">
        <v>24</v>
      </c>
      <c r="I98" s="75" t="s">
        <v>24</v>
      </c>
    </row>
    <row r="99" spans="1:10" ht="15" customHeight="1" x14ac:dyDescent="0.2">
      <c r="A99" s="42"/>
      <c r="B99" s="317" t="s">
        <v>224</v>
      </c>
      <c r="C99" s="317"/>
      <c r="D99" s="317"/>
      <c r="E99" s="317"/>
      <c r="F99" s="317"/>
      <c r="G99" s="317"/>
      <c r="H99" s="241">
        <v>0.02</v>
      </c>
      <c r="I99" s="72">
        <f>ROUND(($I$90/(1-$H$102))*H99,2)</f>
        <v>219.38</v>
      </c>
    </row>
    <row r="100" spans="1:10" ht="15.75" customHeight="1" x14ac:dyDescent="0.2">
      <c r="A100" s="308" t="s">
        <v>89</v>
      </c>
      <c r="B100" s="308"/>
      <c r="C100" s="308"/>
      <c r="D100" s="308"/>
      <c r="E100" s="308"/>
      <c r="F100" s="308"/>
      <c r="G100" s="308"/>
      <c r="H100" s="308"/>
      <c r="I100" s="36">
        <f>SUM(I87+I89+I93+I94+I99)</f>
        <v>1826.31</v>
      </c>
    </row>
    <row r="101" spans="1:10" ht="5.0999999999999996" customHeight="1" x14ac:dyDescent="0.2">
      <c r="A101" s="360"/>
      <c r="B101" s="360"/>
      <c r="C101" s="360"/>
      <c r="D101" s="360"/>
      <c r="E101" s="360"/>
      <c r="F101" s="360"/>
      <c r="G101" s="360"/>
      <c r="H101" s="360"/>
      <c r="I101" s="360"/>
    </row>
    <row r="102" spans="1:10" ht="15.75" customHeight="1" x14ac:dyDescent="0.2">
      <c r="A102" s="309" t="s">
        <v>120</v>
      </c>
      <c r="B102" s="309"/>
      <c r="C102" s="309"/>
      <c r="D102" s="309"/>
      <c r="E102" s="309"/>
      <c r="F102" s="309"/>
      <c r="G102" s="309"/>
      <c r="H102" s="76">
        <f>SUM(H93:H99)</f>
        <v>5.6499999999999995E-2</v>
      </c>
      <c r="I102" s="77">
        <f>SUM(I93:I99)</f>
        <v>619.74</v>
      </c>
    </row>
    <row r="103" spans="1:10" ht="12.75" customHeight="1" x14ac:dyDescent="0.2">
      <c r="A103" s="310" t="s">
        <v>121</v>
      </c>
      <c r="B103" s="310"/>
      <c r="C103" s="311" t="s">
        <v>122</v>
      </c>
      <c r="D103" s="311"/>
      <c r="E103" s="311"/>
      <c r="F103" s="311"/>
      <c r="G103" s="311"/>
      <c r="H103" s="311"/>
      <c r="I103" s="423"/>
    </row>
    <row r="104" spans="1:10" ht="12" customHeight="1" x14ac:dyDescent="0.2">
      <c r="A104" s="310"/>
      <c r="B104" s="310"/>
      <c r="C104" s="312" t="s">
        <v>123</v>
      </c>
      <c r="D104" s="312"/>
      <c r="E104" s="312"/>
      <c r="F104" s="312"/>
      <c r="G104" s="312"/>
      <c r="H104" s="312"/>
      <c r="I104" s="424"/>
    </row>
    <row r="105" spans="1:10" ht="13.5" customHeight="1" x14ac:dyDescent="0.2">
      <c r="A105" s="310"/>
      <c r="B105" s="310"/>
      <c r="C105" s="313" t="s">
        <v>124</v>
      </c>
      <c r="D105" s="313"/>
      <c r="E105" s="313"/>
      <c r="F105" s="313"/>
      <c r="G105" s="313"/>
      <c r="H105" s="313"/>
      <c r="I105" s="431"/>
    </row>
    <row r="106" spans="1:10" ht="5.0999999999999996" customHeight="1" x14ac:dyDescent="0.2">
      <c r="A106" s="360"/>
      <c r="B106" s="360"/>
      <c r="C106" s="360"/>
      <c r="D106" s="360"/>
      <c r="E106" s="360"/>
      <c r="F106" s="360"/>
      <c r="G106" s="360"/>
      <c r="H106" s="360"/>
      <c r="I106" s="360"/>
    </row>
    <row r="107" spans="1:10" ht="24.6" customHeight="1" x14ac:dyDescent="0.2">
      <c r="A107" s="304" t="s">
        <v>263</v>
      </c>
      <c r="B107" s="304"/>
      <c r="C107" s="304"/>
      <c r="D107" s="304"/>
      <c r="E107" s="304"/>
      <c r="F107" s="304"/>
      <c r="G107" s="304"/>
      <c r="H107" s="304"/>
      <c r="I107" s="304"/>
    </row>
    <row r="108" spans="1:10" ht="24.6" customHeight="1" x14ac:dyDescent="0.2">
      <c r="A108" s="428" t="s">
        <v>434</v>
      </c>
      <c r="B108" s="429"/>
      <c r="C108" s="429"/>
      <c r="D108" s="429"/>
      <c r="E108" s="429"/>
      <c r="F108" s="429"/>
      <c r="G108" s="429"/>
      <c r="H108" s="429"/>
      <c r="I108" s="430"/>
    </row>
    <row r="109" spans="1:10" ht="24.6" customHeight="1" x14ac:dyDescent="0.2">
      <c r="A109" s="461" t="s">
        <v>350</v>
      </c>
      <c r="B109" s="462"/>
      <c r="C109" s="462"/>
      <c r="D109" s="462"/>
      <c r="E109" s="462"/>
      <c r="F109" s="462"/>
      <c r="G109" s="462"/>
      <c r="H109" s="463"/>
      <c r="I109" s="205" t="s">
        <v>57</v>
      </c>
    </row>
    <row r="110" spans="1:10" ht="18.75" customHeight="1" x14ac:dyDescent="0.2">
      <c r="A110" s="79" t="s">
        <v>13</v>
      </c>
      <c r="B110" s="345" t="s">
        <v>435</v>
      </c>
      <c r="C110" s="302"/>
      <c r="D110" s="302"/>
      <c r="E110" s="302"/>
      <c r="F110" s="302"/>
      <c r="G110" s="302"/>
      <c r="H110" s="346"/>
      <c r="I110" s="194">
        <f>I80</f>
        <v>9142.4500000000007</v>
      </c>
    </row>
    <row r="111" spans="1:10" ht="18.75" customHeight="1" x14ac:dyDescent="0.2">
      <c r="A111" s="79" t="s">
        <v>15</v>
      </c>
      <c r="B111" s="345" t="s">
        <v>128</v>
      </c>
      <c r="C111" s="302"/>
      <c r="D111" s="302"/>
      <c r="E111" s="302"/>
      <c r="F111" s="302"/>
      <c r="G111" s="302"/>
      <c r="H111" s="346"/>
      <c r="I111" s="194">
        <f>I100</f>
        <v>1826.31</v>
      </c>
    </row>
    <row r="112" spans="1:10" ht="18.75" customHeight="1" x14ac:dyDescent="0.2">
      <c r="A112" s="425" t="s">
        <v>351</v>
      </c>
      <c r="B112" s="426"/>
      <c r="C112" s="426"/>
      <c r="D112" s="426"/>
      <c r="E112" s="426"/>
      <c r="F112" s="426"/>
      <c r="G112" s="426"/>
      <c r="H112" s="427"/>
      <c r="I112" s="195">
        <f>I110+I111</f>
        <v>10968.76</v>
      </c>
      <c r="J112" s="19"/>
    </row>
    <row r="113" spans="1:9" ht="5.0999999999999996" customHeight="1" x14ac:dyDescent="0.2">
      <c r="A113" s="360"/>
      <c r="B113" s="360"/>
      <c r="C113" s="360"/>
      <c r="D113" s="360"/>
      <c r="E113" s="360"/>
      <c r="F113" s="360"/>
      <c r="G113" s="360"/>
      <c r="H113" s="360"/>
      <c r="I113" s="360"/>
    </row>
    <row r="114" spans="1:9" ht="18.75" customHeight="1" x14ac:dyDescent="0.2">
      <c r="A114" s="299" t="s">
        <v>143</v>
      </c>
      <c r="B114" s="299"/>
      <c r="C114" s="299"/>
      <c r="D114" s="299"/>
      <c r="E114" s="299"/>
      <c r="F114" s="299"/>
      <c r="G114" s="300">
        <f>I110+I111</f>
        <v>10968.76</v>
      </c>
      <c r="H114" s="300"/>
      <c r="I114" s="300"/>
    </row>
    <row r="115" spans="1:9" ht="8.25" customHeight="1" x14ac:dyDescent="0.25">
      <c r="A115" s="421"/>
      <c r="B115" s="290"/>
      <c r="C115" s="290"/>
      <c r="D115" s="290"/>
      <c r="E115" s="290"/>
      <c r="F115" s="290"/>
      <c r="G115" s="290"/>
      <c r="H115" s="290"/>
      <c r="I115" s="422"/>
    </row>
    <row r="116" spans="1:9" ht="19.5" customHeight="1" x14ac:dyDescent="0.2">
      <c r="A116" s="291" t="s">
        <v>144</v>
      </c>
      <c r="B116" s="291"/>
      <c r="C116" s="291"/>
      <c r="D116" s="291"/>
      <c r="E116" s="291"/>
      <c r="F116" s="291"/>
      <c r="G116" s="292">
        <f>$H$10</f>
        <v>60</v>
      </c>
      <c r="H116" s="292"/>
      <c r="I116" s="292"/>
    </row>
    <row r="117" spans="1:9" ht="5.0999999999999996" customHeight="1" x14ac:dyDescent="0.2">
      <c r="A117" s="360"/>
      <c r="B117" s="360"/>
      <c r="C117" s="360"/>
      <c r="D117" s="360"/>
      <c r="E117" s="360"/>
      <c r="F117" s="360"/>
      <c r="G117" s="360"/>
      <c r="H117" s="360"/>
      <c r="I117" s="360"/>
    </row>
    <row r="118" spans="1:9" ht="31.5" customHeight="1" x14ac:dyDescent="0.2">
      <c r="A118" s="294" t="s">
        <v>145</v>
      </c>
      <c r="B118" s="294"/>
      <c r="C118" s="294"/>
      <c r="D118" s="294"/>
      <c r="E118" s="294"/>
      <c r="F118" s="294"/>
      <c r="G118" s="295">
        <f>ROUND(G114*G116,2)</f>
        <v>658125.6</v>
      </c>
      <c r="H118" s="295"/>
      <c r="I118" s="295"/>
    </row>
    <row r="119" spans="1:9" ht="5.0999999999999996" customHeight="1" x14ac:dyDescent="0.2">
      <c r="A119" s="360"/>
      <c r="B119" s="360"/>
      <c r="C119" s="360"/>
      <c r="D119" s="360"/>
      <c r="E119" s="360"/>
      <c r="F119" s="360"/>
      <c r="G119" s="360"/>
      <c r="H119" s="360"/>
      <c r="I119" s="360"/>
    </row>
    <row r="129" ht="12.75" customHeight="1" x14ac:dyDescent="0.2"/>
  </sheetData>
  <mergeCells count="132">
    <mergeCell ref="B59:C59"/>
    <mergeCell ref="B60:C60"/>
    <mergeCell ref="A83:I83"/>
    <mergeCell ref="B94:G94"/>
    <mergeCell ref="B87:G87"/>
    <mergeCell ref="A64:I64"/>
    <mergeCell ref="A73:I73"/>
    <mergeCell ref="B67:E67"/>
    <mergeCell ref="B68:E68"/>
    <mergeCell ref="B69:E69"/>
    <mergeCell ref="B70:E70"/>
    <mergeCell ref="A71:H71"/>
    <mergeCell ref="A74:I74"/>
    <mergeCell ref="A80:H80"/>
    <mergeCell ref="B79:H79"/>
    <mergeCell ref="B75:H75"/>
    <mergeCell ref="B76:H76"/>
    <mergeCell ref="A82:I82"/>
    <mergeCell ref="A84:I84"/>
    <mergeCell ref="B85:G85"/>
    <mergeCell ref="A86:G86"/>
    <mergeCell ref="F13:G13"/>
    <mergeCell ref="H13:I13"/>
    <mergeCell ref="A46:I46"/>
    <mergeCell ref="A30:H30"/>
    <mergeCell ref="B38:C38"/>
    <mergeCell ref="B43:C43"/>
    <mergeCell ref="B20:C20"/>
    <mergeCell ref="B34:C34"/>
    <mergeCell ref="B35:C35"/>
    <mergeCell ref="B36:C36"/>
    <mergeCell ref="B41:C41"/>
    <mergeCell ref="B42:C42"/>
    <mergeCell ref="B48:C48"/>
    <mergeCell ref="B53:C53"/>
    <mergeCell ref="A31:H31"/>
    <mergeCell ref="B37:C37"/>
    <mergeCell ref="B33:C33"/>
    <mergeCell ref="B47:C47"/>
    <mergeCell ref="B39:C39"/>
    <mergeCell ref="B40:C40"/>
    <mergeCell ref="A72:H72"/>
    <mergeCell ref="B49:C49"/>
    <mergeCell ref="B50:C50"/>
    <mergeCell ref="B51:C51"/>
    <mergeCell ref="B52:C52"/>
    <mergeCell ref="A62:H62"/>
    <mergeCell ref="A63:H63"/>
    <mergeCell ref="B65:E65"/>
    <mergeCell ref="B66:E66"/>
    <mergeCell ref="A32:I32"/>
    <mergeCell ref="B54:C54"/>
    <mergeCell ref="B55:C55"/>
    <mergeCell ref="B56:C56"/>
    <mergeCell ref="B61:C61"/>
    <mergeCell ref="B57:C57"/>
    <mergeCell ref="B58:C58"/>
    <mergeCell ref="B8:G8"/>
    <mergeCell ref="H8:I8"/>
    <mergeCell ref="B9:G9"/>
    <mergeCell ref="H9:I9"/>
    <mergeCell ref="A6:E6"/>
    <mergeCell ref="F6:I6"/>
    <mergeCell ref="A2:I2"/>
    <mergeCell ref="A3:I3"/>
    <mergeCell ref="A4:E4"/>
    <mergeCell ref="F4:I4"/>
    <mergeCell ref="A5:E5"/>
    <mergeCell ref="F5:I5"/>
    <mergeCell ref="A7:I7"/>
    <mergeCell ref="H10:I10"/>
    <mergeCell ref="A11:I11"/>
    <mergeCell ref="A18:I18"/>
    <mergeCell ref="A45:H45"/>
    <mergeCell ref="A44:H44"/>
    <mergeCell ref="B29:C29"/>
    <mergeCell ref="B24:C24"/>
    <mergeCell ref="B10:G10"/>
    <mergeCell ref="B26:C26"/>
    <mergeCell ref="B27:C27"/>
    <mergeCell ref="B22:C22"/>
    <mergeCell ref="A15:I15"/>
    <mergeCell ref="A16:I16"/>
    <mergeCell ref="B28:C28"/>
    <mergeCell ref="B23:C23"/>
    <mergeCell ref="H12:I12"/>
    <mergeCell ref="A12:E12"/>
    <mergeCell ref="F12:G12"/>
    <mergeCell ref="A17:I17"/>
    <mergeCell ref="B19:C19"/>
    <mergeCell ref="A14:I14"/>
    <mergeCell ref="A13:E13"/>
    <mergeCell ref="B21:C21"/>
    <mergeCell ref="B25:C25"/>
    <mergeCell ref="A88:G88"/>
    <mergeCell ref="A81:I81"/>
    <mergeCell ref="B77:H77"/>
    <mergeCell ref="B78:H78"/>
    <mergeCell ref="A118:F118"/>
    <mergeCell ref="G118:I118"/>
    <mergeCell ref="A100:H100"/>
    <mergeCell ref="A101:I101"/>
    <mergeCell ref="A102:G102"/>
    <mergeCell ref="B89:G89"/>
    <mergeCell ref="A109:H109"/>
    <mergeCell ref="A90:G90"/>
    <mergeCell ref="B91:G91"/>
    <mergeCell ref="B92:G92"/>
    <mergeCell ref="B93:G93"/>
    <mergeCell ref="A108:I108"/>
    <mergeCell ref="A116:F116"/>
    <mergeCell ref="G116:I116"/>
    <mergeCell ref="C105:I105"/>
    <mergeCell ref="B110:H110"/>
    <mergeCell ref="B111:H111"/>
    <mergeCell ref="A119:I119"/>
    <mergeCell ref="A106:I106"/>
    <mergeCell ref="A107:I107"/>
    <mergeCell ref="A114:F114"/>
    <mergeCell ref="G114:I114"/>
    <mergeCell ref="A115:I115"/>
    <mergeCell ref="A117:I117"/>
    <mergeCell ref="B95:G95"/>
    <mergeCell ref="B96:G96"/>
    <mergeCell ref="B97:G97"/>
    <mergeCell ref="B98:G98"/>
    <mergeCell ref="B99:G99"/>
    <mergeCell ref="A113:I113"/>
    <mergeCell ref="A103:B105"/>
    <mergeCell ref="C103:I103"/>
    <mergeCell ref="C104:I104"/>
    <mergeCell ref="A112:H112"/>
  </mergeCells>
  <pageMargins left="0.98425196850393704" right="0.39370078740157483" top="0.39370078740157483" bottom="0.39370078740157483" header="0.31496062992125984" footer="0.31496062992125984"/>
  <pageSetup paperSize="9" scale="64" orientation="portrait" horizontalDpi="300" verticalDpi="300" r:id="rId1"/>
  <rowBreaks count="1" manualBreakCount="1">
    <brk id="73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48260-138C-44D6-80D8-9BC2B4CB770A}">
  <dimension ref="A1:L132"/>
  <sheetViews>
    <sheetView topLeftCell="A56" zoomScaleNormal="100" workbookViewId="0">
      <selection activeCell="C47" sqref="C47"/>
    </sheetView>
  </sheetViews>
  <sheetFormatPr defaultColWidth="0" defaultRowHeight="12.75" zeroHeight="1" x14ac:dyDescent="0.2"/>
  <cols>
    <col min="1" max="2" width="1.7109375" style="114" customWidth="1"/>
    <col min="3" max="3" width="68.28515625" style="114" customWidth="1"/>
    <col min="4" max="4" width="8.5703125" style="118" bestFit="1" customWidth="1"/>
    <col min="5" max="5" width="13.5703125" style="118" customWidth="1"/>
    <col min="6" max="6" width="12.42578125" style="118" customWidth="1"/>
    <col min="7" max="7" width="11.42578125" style="110" customWidth="1"/>
    <col min="8" max="8" width="13.28515625" style="110" customWidth="1"/>
    <col min="9" max="10" width="18.28515625" style="114" customWidth="1"/>
    <col min="11" max="12" width="1.7109375" style="114" customWidth="1"/>
    <col min="13" max="16384" width="0" style="114" hidden="1"/>
  </cols>
  <sheetData>
    <row r="1" spans="1:12" ht="8.1" customHeight="1" thickBot="1" x14ac:dyDescent="0.25">
      <c r="A1" s="125"/>
      <c r="B1" s="125"/>
      <c r="C1" s="125"/>
      <c r="D1" s="126"/>
      <c r="E1" s="126"/>
      <c r="F1" s="126"/>
      <c r="G1" s="162"/>
      <c r="H1" s="162"/>
      <c r="I1" s="125"/>
      <c r="J1" s="125"/>
      <c r="K1" s="125"/>
      <c r="L1" s="125"/>
    </row>
    <row r="2" spans="1:12" ht="27" thickTop="1" x14ac:dyDescent="0.2">
      <c r="A2" s="125"/>
      <c r="B2" s="472" t="s">
        <v>241</v>
      </c>
      <c r="C2" s="473"/>
      <c r="D2" s="473"/>
      <c r="E2" s="473"/>
      <c r="F2" s="473"/>
      <c r="G2" s="473"/>
      <c r="H2" s="473"/>
      <c r="I2" s="473"/>
      <c r="J2" s="473"/>
      <c r="K2" s="474"/>
      <c r="L2" s="125"/>
    </row>
    <row r="3" spans="1:12" ht="8.1" customHeight="1" x14ac:dyDescent="0.2">
      <c r="A3" s="125"/>
      <c r="B3" s="180"/>
      <c r="C3" s="470"/>
      <c r="D3" s="470"/>
      <c r="E3" s="470"/>
      <c r="F3" s="470"/>
      <c r="G3" s="470"/>
      <c r="H3" s="470"/>
      <c r="I3" s="181"/>
      <c r="J3" s="181"/>
      <c r="K3" s="182"/>
      <c r="L3" s="125"/>
    </row>
    <row r="4" spans="1:12" ht="38.25" x14ac:dyDescent="0.2">
      <c r="A4" s="125"/>
      <c r="B4" s="180"/>
      <c r="C4" s="189" t="s">
        <v>443</v>
      </c>
      <c r="D4" s="183" t="s">
        <v>184</v>
      </c>
      <c r="E4" s="183" t="s">
        <v>429</v>
      </c>
      <c r="F4" s="183" t="s">
        <v>236</v>
      </c>
      <c r="G4" s="183" t="s">
        <v>187</v>
      </c>
      <c r="H4" s="184" t="s">
        <v>188</v>
      </c>
      <c r="I4" s="184" t="s">
        <v>189</v>
      </c>
      <c r="J4" s="181"/>
      <c r="K4" s="182"/>
      <c r="L4" s="125"/>
    </row>
    <row r="5" spans="1:12" x14ac:dyDescent="0.2">
      <c r="A5" s="125"/>
      <c r="B5" s="163"/>
      <c r="C5" s="130" t="s">
        <v>192</v>
      </c>
      <c r="D5" s="131" t="s">
        <v>191</v>
      </c>
      <c r="E5" s="131">
        <v>1</v>
      </c>
      <c r="F5" s="132">
        <v>60</v>
      </c>
      <c r="G5" s="128">
        <f>12/F5*E5</f>
        <v>0.2</v>
      </c>
      <c r="H5" s="243">
        <v>2409.54</v>
      </c>
      <c r="I5" s="150">
        <f>G5*H5</f>
        <v>481.90800000000002</v>
      </c>
      <c r="J5" s="165"/>
      <c r="K5" s="164"/>
      <c r="L5" s="125"/>
    </row>
    <row r="6" spans="1:12" x14ac:dyDescent="0.2">
      <c r="A6" s="125"/>
      <c r="B6" s="163"/>
      <c r="C6" s="133" t="s">
        <v>193</v>
      </c>
      <c r="D6" s="131" t="s">
        <v>191</v>
      </c>
      <c r="E6" s="131">
        <v>1</v>
      </c>
      <c r="F6" s="132">
        <v>12</v>
      </c>
      <c r="G6" s="134">
        <f>12/F6*E6</f>
        <v>1</v>
      </c>
      <c r="H6" s="243">
        <v>75.41</v>
      </c>
      <c r="I6" s="150">
        <f>G6*H6</f>
        <v>75.41</v>
      </c>
      <c r="J6" s="165"/>
      <c r="K6" s="164"/>
      <c r="L6" s="125"/>
    </row>
    <row r="7" spans="1:12" x14ac:dyDescent="0.2">
      <c r="A7" s="125"/>
      <c r="B7" s="163"/>
      <c r="C7" s="133" t="s">
        <v>194</v>
      </c>
      <c r="D7" s="131" t="s">
        <v>191</v>
      </c>
      <c r="E7" s="131">
        <v>1</v>
      </c>
      <c r="F7" s="132">
        <v>60</v>
      </c>
      <c r="G7" s="134">
        <f>12/F7*E7</f>
        <v>0.2</v>
      </c>
      <c r="H7" s="243">
        <v>106.26</v>
      </c>
      <c r="I7" s="150">
        <f>G7*H7</f>
        <v>21.252000000000002</v>
      </c>
      <c r="J7" s="165"/>
      <c r="K7" s="164"/>
      <c r="L7" s="125"/>
    </row>
    <row r="8" spans="1:12" x14ac:dyDescent="0.2">
      <c r="A8" s="125"/>
      <c r="B8" s="163"/>
      <c r="C8" s="133" t="s">
        <v>196</v>
      </c>
      <c r="D8" s="131" t="s">
        <v>191</v>
      </c>
      <c r="E8" s="131">
        <v>2</v>
      </c>
      <c r="F8" s="132">
        <v>12</v>
      </c>
      <c r="G8" s="134">
        <f>12/F8*E8</f>
        <v>2</v>
      </c>
      <c r="H8" s="243">
        <v>112.5</v>
      </c>
      <c r="I8" s="150">
        <f>G8*H8</f>
        <v>225</v>
      </c>
      <c r="J8" s="165"/>
      <c r="K8" s="164"/>
      <c r="L8" s="125"/>
    </row>
    <row r="9" spans="1:12" x14ac:dyDescent="0.2">
      <c r="A9" s="125"/>
      <c r="B9" s="163"/>
      <c r="C9" s="119" t="s">
        <v>246</v>
      </c>
      <c r="D9" s="131" t="s">
        <v>191</v>
      </c>
      <c r="E9" s="115">
        <v>2</v>
      </c>
      <c r="F9" s="132">
        <v>24</v>
      </c>
      <c r="G9" s="134">
        <f>12/F9*E9</f>
        <v>1</v>
      </c>
      <c r="H9" s="243">
        <v>6.94</v>
      </c>
      <c r="I9" s="150">
        <f>G9*H9</f>
        <v>6.94</v>
      </c>
      <c r="J9" s="165"/>
      <c r="K9" s="164"/>
      <c r="L9" s="125"/>
    </row>
    <row r="10" spans="1:12" x14ac:dyDescent="0.2">
      <c r="A10" s="125"/>
      <c r="B10" s="163"/>
      <c r="C10" s="119"/>
      <c r="D10" s="115"/>
      <c r="E10" s="115"/>
      <c r="F10" s="116"/>
      <c r="G10" s="120"/>
      <c r="H10" s="244"/>
      <c r="I10" s="150"/>
      <c r="J10" s="165"/>
      <c r="K10" s="164"/>
      <c r="L10" s="125"/>
    </row>
    <row r="11" spans="1:12" ht="14.65" customHeight="1" x14ac:dyDescent="0.2">
      <c r="A11" s="125"/>
      <c r="B11" s="163"/>
      <c r="C11" s="478" t="s">
        <v>237</v>
      </c>
      <c r="D11" s="478"/>
      <c r="E11" s="478"/>
      <c r="F11" s="478"/>
      <c r="G11" s="478"/>
      <c r="H11" s="478"/>
      <c r="I11" s="176">
        <f>SUM(I5:I10)</f>
        <v>810.51</v>
      </c>
      <c r="J11" s="165"/>
      <c r="K11" s="164"/>
      <c r="L11" s="125"/>
    </row>
    <row r="12" spans="1:12" ht="14.65" customHeight="1" x14ac:dyDescent="0.2">
      <c r="A12" s="125"/>
      <c r="B12" s="163"/>
      <c r="C12" s="478" t="s">
        <v>238</v>
      </c>
      <c r="D12" s="478"/>
      <c r="E12" s="478"/>
      <c r="F12" s="478"/>
      <c r="G12" s="478"/>
      <c r="H12" s="478"/>
      <c r="I12" s="177">
        <f>ROUND(I11/12,2)</f>
        <v>67.540000000000006</v>
      </c>
      <c r="J12" s="165"/>
      <c r="K12" s="164"/>
      <c r="L12" s="125"/>
    </row>
    <row r="13" spans="1:12" ht="8.1" customHeight="1" x14ac:dyDescent="0.2">
      <c r="A13" s="125"/>
      <c r="B13" s="180"/>
      <c r="C13" s="470"/>
      <c r="D13" s="470"/>
      <c r="E13" s="470"/>
      <c r="F13" s="470"/>
      <c r="G13" s="470"/>
      <c r="H13" s="470"/>
      <c r="I13" s="181"/>
      <c r="J13" s="181"/>
      <c r="K13" s="182"/>
      <c r="L13" s="125"/>
    </row>
    <row r="14" spans="1:12" ht="38.25" x14ac:dyDescent="0.2">
      <c r="A14" s="125"/>
      <c r="B14" s="163"/>
      <c r="C14" s="189" t="s">
        <v>444</v>
      </c>
      <c r="D14" s="185" t="s">
        <v>184</v>
      </c>
      <c r="E14" s="185" t="s">
        <v>429</v>
      </c>
      <c r="F14" s="185" t="s">
        <v>186</v>
      </c>
      <c r="G14" s="185" t="s">
        <v>187</v>
      </c>
      <c r="H14" s="186" t="s">
        <v>188</v>
      </c>
      <c r="I14" s="186" t="s">
        <v>189</v>
      </c>
      <c r="J14" s="165"/>
      <c r="K14" s="164"/>
      <c r="L14" s="125"/>
    </row>
    <row r="15" spans="1:12" x14ac:dyDescent="0.2">
      <c r="A15" s="125"/>
      <c r="B15" s="163"/>
      <c r="C15" s="135" t="s">
        <v>249</v>
      </c>
      <c r="D15" s="136" t="s">
        <v>191</v>
      </c>
      <c r="E15" s="136">
        <v>1</v>
      </c>
      <c r="F15" s="137">
        <v>60</v>
      </c>
      <c r="G15" s="138">
        <f>12/F15*E15</f>
        <v>0.2</v>
      </c>
      <c r="H15" s="245">
        <v>8903.86</v>
      </c>
      <c r="I15" s="124">
        <f>G15*H15</f>
        <v>1780.7720000000002</v>
      </c>
      <c r="J15" s="165"/>
      <c r="K15" s="164"/>
      <c r="L15" s="125"/>
    </row>
    <row r="16" spans="1:12" x14ac:dyDescent="0.2">
      <c r="A16" s="125"/>
      <c r="B16" s="163"/>
      <c r="C16" s="135" t="s">
        <v>195</v>
      </c>
      <c r="D16" s="136" t="s">
        <v>191</v>
      </c>
      <c r="E16" s="136">
        <v>1</v>
      </c>
      <c r="F16" s="137">
        <v>60</v>
      </c>
      <c r="G16" s="138">
        <f>12/F16*E16</f>
        <v>0.2</v>
      </c>
      <c r="H16" s="245">
        <v>731.99</v>
      </c>
      <c r="I16" s="124">
        <f>G16*H16</f>
        <v>146.398</v>
      </c>
      <c r="J16" s="165"/>
      <c r="K16" s="164"/>
      <c r="L16" s="125"/>
    </row>
    <row r="17" spans="1:12" x14ac:dyDescent="0.2">
      <c r="A17" s="125"/>
      <c r="B17" s="163"/>
      <c r="C17" s="135" t="s">
        <v>247</v>
      </c>
      <c r="D17" s="136" t="s">
        <v>191</v>
      </c>
      <c r="E17" s="136">
        <v>2</v>
      </c>
      <c r="F17" s="137">
        <v>60</v>
      </c>
      <c r="G17" s="134">
        <f>12/F17*E17</f>
        <v>0.4</v>
      </c>
      <c r="H17" s="245">
        <v>590.45000000000005</v>
      </c>
      <c r="I17" s="150">
        <f>G17*H17</f>
        <v>236.18000000000004</v>
      </c>
      <c r="J17" s="165"/>
      <c r="K17" s="164"/>
      <c r="L17" s="125"/>
    </row>
    <row r="18" spans="1:12" x14ac:dyDescent="0.2">
      <c r="A18" s="125"/>
      <c r="B18" s="163"/>
      <c r="C18" s="135"/>
      <c r="D18" s="136"/>
      <c r="E18" s="136"/>
      <c r="F18" s="137"/>
      <c r="G18" s="138"/>
      <c r="H18" s="245"/>
      <c r="I18" s="124"/>
      <c r="J18" s="165"/>
      <c r="K18" s="164"/>
      <c r="L18" s="125"/>
    </row>
    <row r="19" spans="1:12" x14ac:dyDescent="0.2">
      <c r="A19" s="125"/>
      <c r="B19" s="163"/>
      <c r="C19" s="135"/>
      <c r="D19" s="136"/>
      <c r="E19" s="136"/>
      <c r="F19" s="137"/>
      <c r="G19" s="138"/>
      <c r="H19" s="245"/>
      <c r="I19" s="124"/>
      <c r="J19" s="165"/>
      <c r="K19" s="164"/>
      <c r="L19" s="125"/>
    </row>
    <row r="20" spans="1:12" x14ac:dyDescent="0.2">
      <c r="A20" s="125"/>
      <c r="B20" s="163"/>
      <c r="C20" s="471" t="s">
        <v>197</v>
      </c>
      <c r="D20" s="471"/>
      <c r="E20" s="471"/>
      <c r="F20" s="471"/>
      <c r="G20" s="471"/>
      <c r="H20" s="471"/>
      <c r="I20" s="178">
        <f>SUM(I15:I19)</f>
        <v>2163.35</v>
      </c>
      <c r="J20" s="165"/>
      <c r="K20" s="164"/>
      <c r="L20" s="125"/>
    </row>
    <row r="21" spans="1:12" ht="12.75" customHeight="1" x14ac:dyDescent="0.2">
      <c r="A21" s="125"/>
      <c r="B21" s="163"/>
      <c r="C21" s="478" t="s">
        <v>198</v>
      </c>
      <c r="D21" s="478"/>
      <c r="E21" s="478"/>
      <c r="F21" s="478"/>
      <c r="G21" s="478"/>
      <c r="H21" s="478"/>
      <c r="I21" s="179">
        <f>I20/12</f>
        <v>180.27916666666667</v>
      </c>
      <c r="J21" s="165"/>
      <c r="K21" s="164"/>
      <c r="L21" s="125"/>
    </row>
    <row r="22" spans="1:12" ht="12.75" customHeight="1" x14ac:dyDescent="0.2">
      <c r="A22" s="125"/>
      <c r="B22" s="180"/>
      <c r="C22" s="470"/>
      <c r="D22" s="470"/>
      <c r="E22" s="470"/>
      <c r="F22" s="470"/>
      <c r="G22" s="470"/>
      <c r="H22" s="470"/>
      <c r="I22" s="181"/>
      <c r="J22" s="181"/>
      <c r="K22" s="182"/>
      <c r="L22" s="125"/>
    </row>
    <row r="23" spans="1:12" ht="38.25" x14ac:dyDescent="0.2">
      <c r="A23" s="125"/>
      <c r="B23" s="163"/>
      <c r="C23" s="189" t="s">
        <v>440</v>
      </c>
      <c r="D23" s="185" t="s">
        <v>184</v>
      </c>
      <c r="E23" s="185" t="s">
        <v>430</v>
      </c>
      <c r="F23" s="185" t="s">
        <v>427</v>
      </c>
      <c r="G23" s="185" t="s">
        <v>428</v>
      </c>
      <c r="H23" s="186" t="s">
        <v>188</v>
      </c>
      <c r="I23" s="186" t="s">
        <v>189</v>
      </c>
      <c r="J23" s="165"/>
      <c r="K23" s="164"/>
      <c r="L23" s="125"/>
    </row>
    <row r="24" spans="1:12" x14ac:dyDescent="0.2">
      <c r="A24" s="125"/>
      <c r="B24" s="163"/>
      <c r="C24" s="121" t="s">
        <v>199</v>
      </c>
      <c r="D24" s="122" t="s">
        <v>191</v>
      </c>
      <c r="E24" s="149">
        <v>2</v>
      </c>
      <c r="F24" s="123">
        <f>E24*2</f>
        <v>4</v>
      </c>
      <c r="G24" s="123">
        <f>F24*2</f>
        <v>8</v>
      </c>
      <c r="H24" s="245">
        <v>75</v>
      </c>
      <c r="I24" s="124">
        <f t="shared" ref="I24:I37" si="0">G24*H24</f>
        <v>600</v>
      </c>
      <c r="J24" s="165"/>
      <c r="K24" s="164"/>
      <c r="L24" s="125"/>
    </row>
    <row r="25" spans="1:12" x14ac:dyDescent="0.2">
      <c r="A25" s="125"/>
      <c r="B25" s="163"/>
      <c r="C25" s="121" t="s">
        <v>200</v>
      </c>
      <c r="D25" s="122" t="s">
        <v>191</v>
      </c>
      <c r="E25" s="149">
        <v>2</v>
      </c>
      <c r="F25" s="123">
        <f t="shared" ref="F25:F37" si="1">E25*2</f>
        <v>4</v>
      </c>
      <c r="G25" s="123">
        <f t="shared" ref="G25:G37" si="2">F25*2</f>
        <v>8</v>
      </c>
      <c r="H25" s="245">
        <v>84.66</v>
      </c>
      <c r="I25" s="124">
        <f t="shared" si="0"/>
        <v>677.28</v>
      </c>
      <c r="J25" s="165"/>
      <c r="K25" s="164"/>
      <c r="L25" s="125"/>
    </row>
    <row r="26" spans="1:12" x14ac:dyDescent="0.2">
      <c r="A26" s="125"/>
      <c r="B26" s="163"/>
      <c r="C26" s="121" t="s">
        <v>201</v>
      </c>
      <c r="D26" s="122" t="s">
        <v>191</v>
      </c>
      <c r="E26" s="149">
        <v>2</v>
      </c>
      <c r="F26" s="123">
        <f t="shared" si="1"/>
        <v>4</v>
      </c>
      <c r="G26" s="123">
        <f t="shared" si="2"/>
        <v>8</v>
      </c>
      <c r="H26" s="245">
        <v>130.25</v>
      </c>
      <c r="I26" s="124">
        <f t="shared" si="0"/>
        <v>1042</v>
      </c>
      <c r="J26" s="165"/>
      <c r="K26" s="164"/>
      <c r="L26" s="125"/>
    </row>
    <row r="27" spans="1:12" hidden="1" x14ac:dyDescent="0.2">
      <c r="A27" s="125"/>
      <c r="B27" s="163"/>
      <c r="C27" s="121" t="s">
        <v>202</v>
      </c>
      <c r="D27" s="122" t="s">
        <v>191</v>
      </c>
      <c r="E27" s="149">
        <v>1</v>
      </c>
      <c r="F27" s="123">
        <f t="shared" si="1"/>
        <v>2</v>
      </c>
      <c r="G27" s="123">
        <f t="shared" si="2"/>
        <v>4</v>
      </c>
      <c r="H27" s="245">
        <v>5</v>
      </c>
      <c r="I27" s="124">
        <f t="shared" si="0"/>
        <v>20</v>
      </c>
      <c r="J27" s="165"/>
      <c r="K27" s="164"/>
      <c r="L27" s="125"/>
    </row>
    <row r="28" spans="1:12" x14ac:dyDescent="0.2">
      <c r="A28" s="125"/>
      <c r="B28" s="163"/>
      <c r="C28" s="121" t="s">
        <v>239</v>
      </c>
      <c r="D28" s="122" t="s">
        <v>191</v>
      </c>
      <c r="E28" s="149">
        <v>1</v>
      </c>
      <c r="F28" s="123">
        <f t="shared" si="1"/>
        <v>2</v>
      </c>
      <c r="G28" s="123">
        <f t="shared" si="2"/>
        <v>4</v>
      </c>
      <c r="H28" s="245">
        <v>206.46</v>
      </c>
      <c r="I28" s="124">
        <f t="shared" si="0"/>
        <v>825.84</v>
      </c>
      <c r="J28" s="165"/>
      <c r="K28" s="164"/>
      <c r="L28" s="125"/>
    </row>
    <row r="29" spans="1:12" x14ac:dyDescent="0.2">
      <c r="A29" s="125"/>
      <c r="B29" s="163"/>
      <c r="C29" s="121" t="s">
        <v>203</v>
      </c>
      <c r="D29" s="122" t="s">
        <v>191</v>
      </c>
      <c r="E29" s="149">
        <v>1</v>
      </c>
      <c r="F29" s="123">
        <f t="shared" si="1"/>
        <v>2</v>
      </c>
      <c r="G29" s="123">
        <f t="shared" si="2"/>
        <v>4</v>
      </c>
      <c r="H29" s="245">
        <v>32.22</v>
      </c>
      <c r="I29" s="124">
        <f t="shared" si="0"/>
        <v>128.88</v>
      </c>
      <c r="J29" s="165"/>
      <c r="K29" s="164"/>
      <c r="L29" s="125"/>
    </row>
    <row r="30" spans="1:12" x14ac:dyDescent="0.2">
      <c r="A30" s="125"/>
      <c r="B30" s="163"/>
      <c r="C30" s="121" t="s">
        <v>204</v>
      </c>
      <c r="D30" s="122" t="s">
        <v>191</v>
      </c>
      <c r="E30" s="149">
        <v>1</v>
      </c>
      <c r="F30" s="123">
        <f t="shared" si="1"/>
        <v>2</v>
      </c>
      <c r="G30" s="123">
        <f t="shared" si="2"/>
        <v>4</v>
      </c>
      <c r="H30" s="245">
        <v>22.86</v>
      </c>
      <c r="I30" s="124">
        <f t="shared" si="0"/>
        <v>91.44</v>
      </c>
      <c r="J30" s="165"/>
      <c r="K30" s="164"/>
      <c r="L30" s="125"/>
    </row>
    <row r="31" spans="1:12" x14ac:dyDescent="0.2">
      <c r="A31" s="125"/>
      <c r="B31" s="163"/>
      <c r="C31" s="121" t="s">
        <v>240</v>
      </c>
      <c r="D31" s="122" t="s">
        <v>205</v>
      </c>
      <c r="E31" s="149">
        <v>0.5</v>
      </c>
      <c r="F31" s="123">
        <f t="shared" si="1"/>
        <v>1</v>
      </c>
      <c r="G31" s="123">
        <f t="shared" si="2"/>
        <v>2</v>
      </c>
      <c r="H31" s="245">
        <v>45.01</v>
      </c>
      <c r="I31" s="124">
        <f t="shared" si="0"/>
        <v>90.02</v>
      </c>
      <c r="J31" s="165"/>
      <c r="K31" s="164"/>
      <c r="L31" s="125"/>
    </row>
    <row r="32" spans="1:12" x14ac:dyDescent="0.2">
      <c r="A32" s="125"/>
      <c r="B32" s="163"/>
      <c r="C32" s="121" t="s">
        <v>206</v>
      </c>
      <c r="D32" s="122" t="s">
        <v>191</v>
      </c>
      <c r="E32" s="149">
        <v>1</v>
      </c>
      <c r="F32" s="123">
        <f t="shared" si="1"/>
        <v>2</v>
      </c>
      <c r="G32" s="123">
        <f t="shared" si="2"/>
        <v>4</v>
      </c>
      <c r="H32" s="245">
        <v>86.9</v>
      </c>
      <c r="I32" s="124">
        <f t="shared" si="0"/>
        <v>347.6</v>
      </c>
      <c r="J32" s="165"/>
      <c r="K32" s="164"/>
      <c r="L32" s="125"/>
    </row>
    <row r="33" spans="1:12" x14ac:dyDescent="0.2">
      <c r="A33" s="125"/>
      <c r="B33" s="163"/>
      <c r="C33" s="121" t="s">
        <v>207</v>
      </c>
      <c r="D33" s="122" t="s">
        <v>191</v>
      </c>
      <c r="E33" s="149">
        <v>0.5</v>
      </c>
      <c r="F33" s="123">
        <f t="shared" si="1"/>
        <v>1</v>
      </c>
      <c r="G33" s="123">
        <f t="shared" si="2"/>
        <v>2</v>
      </c>
      <c r="H33" s="245">
        <v>10.63</v>
      </c>
      <c r="I33" s="124">
        <f t="shared" si="0"/>
        <v>21.26</v>
      </c>
      <c r="J33" s="165"/>
      <c r="K33" s="164"/>
      <c r="L33" s="125"/>
    </row>
    <row r="34" spans="1:12" x14ac:dyDescent="0.2">
      <c r="A34" s="125"/>
      <c r="B34" s="163"/>
      <c r="C34" s="121" t="s">
        <v>208</v>
      </c>
      <c r="D34" s="122" t="s">
        <v>191</v>
      </c>
      <c r="E34" s="149">
        <v>0.5</v>
      </c>
      <c r="F34" s="123">
        <f t="shared" si="1"/>
        <v>1</v>
      </c>
      <c r="G34" s="123">
        <f t="shared" si="2"/>
        <v>2</v>
      </c>
      <c r="H34" s="245">
        <v>1.1000000000000001</v>
      </c>
      <c r="I34" s="124">
        <f t="shared" si="0"/>
        <v>2.2000000000000002</v>
      </c>
      <c r="J34" s="165"/>
      <c r="K34" s="164"/>
      <c r="L34" s="125"/>
    </row>
    <row r="35" spans="1:12" x14ac:dyDescent="0.2">
      <c r="A35" s="125"/>
      <c r="B35" s="163"/>
      <c r="C35" s="121" t="s">
        <v>209</v>
      </c>
      <c r="D35" s="122" t="s">
        <v>191</v>
      </c>
      <c r="E35" s="149">
        <v>0.5</v>
      </c>
      <c r="F35" s="123">
        <f t="shared" si="1"/>
        <v>1</v>
      </c>
      <c r="G35" s="123">
        <f t="shared" si="2"/>
        <v>2</v>
      </c>
      <c r="H35" s="245">
        <v>29.13</v>
      </c>
      <c r="I35" s="124">
        <f t="shared" si="0"/>
        <v>58.26</v>
      </c>
      <c r="J35" s="165"/>
      <c r="K35" s="164"/>
      <c r="L35" s="125"/>
    </row>
    <row r="36" spans="1:12" x14ac:dyDescent="0.2">
      <c r="A36" s="125"/>
      <c r="B36" s="163"/>
      <c r="C36" s="139" t="s">
        <v>210</v>
      </c>
      <c r="D36" s="140" t="s">
        <v>205</v>
      </c>
      <c r="E36" s="266">
        <v>1</v>
      </c>
      <c r="F36" s="123">
        <f t="shared" si="1"/>
        <v>2</v>
      </c>
      <c r="G36" s="123">
        <f t="shared" si="2"/>
        <v>4</v>
      </c>
      <c r="H36" s="246">
        <v>53.92</v>
      </c>
      <c r="I36" s="141">
        <f t="shared" si="0"/>
        <v>215.68</v>
      </c>
      <c r="J36" s="165"/>
      <c r="K36" s="164"/>
      <c r="L36" s="125"/>
    </row>
    <row r="37" spans="1:12" x14ac:dyDescent="0.2">
      <c r="A37" s="125"/>
      <c r="B37" s="163"/>
      <c r="C37" s="117" t="s">
        <v>211</v>
      </c>
      <c r="D37" s="142" t="s">
        <v>191</v>
      </c>
      <c r="E37" s="267">
        <v>1</v>
      </c>
      <c r="F37" s="123">
        <f t="shared" si="1"/>
        <v>2</v>
      </c>
      <c r="G37" s="123">
        <f t="shared" si="2"/>
        <v>4</v>
      </c>
      <c r="H37" s="243">
        <v>247.61</v>
      </c>
      <c r="I37" s="144">
        <f t="shared" si="0"/>
        <v>990.44</v>
      </c>
      <c r="J37" s="165"/>
      <c r="K37" s="164"/>
      <c r="L37" s="125"/>
    </row>
    <row r="38" spans="1:12" x14ac:dyDescent="0.2">
      <c r="A38" s="125"/>
      <c r="B38" s="163"/>
      <c r="C38" s="117"/>
      <c r="D38" s="142"/>
      <c r="E38" s="267"/>
      <c r="F38" s="123"/>
      <c r="G38" s="143"/>
      <c r="H38" s="243"/>
      <c r="I38" s="144"/>
      <c r="J38" s="165"/>
      <c r="K38" s="164"/>
      <c r="L38" s="125"/>
    </row>
    <row r="39" spans="1:12" x14ac:dyDescent="0.2">
      <c r="A39" s="125"/>
      <c r="B39" s="163"/>
      <c r="C39" s="465" t="s">
        <v>441</v>
      </c>
      <c r="D39" s="466"/>
      <c r="E39" s="466"/>
      <c r="F39" s="466"/>
      <c r="G39" s="466"/>
      <c r="H39" s="467"/>
      <c r="I39" s="187">
        <f>SUM(I24:I38)</f>
        <v>5110.8999999999996</v>
      </c>
      <c r="J39" s="165"/>
      <c r="K39" s="164"/>
      <c r="L39" s="125"/>
    </row>
    <row r="40" spans="1:12" ht="12.75" customHeight="1" x14ac:dyDescent="0.2">
      <c r="A40" s="125"/>
      <c r="B40" s="163"/>
      <c r="C40" s="465" t="s">
        <v>442</v>
      </c>
      <c r="D40" s="466"/>
      <c r="E40" s="466"/>
      <c r="F40" s="466"/>
      <c r="G40" s="466"/>
      <c r="H40" s="467"/>
      <c r="I40" s="177">
        <f>ROUND(I39/12,2)</f>
        <v>425.91</v>
      </c>
      <c r="J40" s="165"/>
      <c r="K40" s="164"/>
      <c r="L40" s="125"/>
    </row>
    <row r="41" spans="1:12" ht="12.75" customHeight="1" thickBot="1" x14ac:dyDescent="0.25">
      <c r="A41" s="125"/>
      <c r="B41" s="167"/>
      <c r="C41" s="168"/>
      <c r="D41" s="168"/>
      <c r="E41" s="168"/>
      <c r="F41" s="168"/>
      <c r="G41" s="168"/>
      <c r="H41" s="168"/>
      <c r="I41" s="168"/>
      <c r="J41" s="168"/>
      <c r="K41" s="169"/>
      <c r="L41" s="125"/>
    </row>
    <row r="42" spans="1:12" ht="12.75" customHeight="1" thickTop="1" thickBot="1" x14ac:dyDescent="0.25">
      <c r="A42" s="125"/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</row>
    <row r="43" spans="1:12" ht="12.75" customHeight="1" thickTop="1" x14ac:dyDescent="0.2">
      <c r="A43" s="125"/>
      <c r="B43" s="472" t="s">
        <v>470</v>
      </c>
      <c r="C43" s="473"/>
      <c r="D43" s="473"/>
      <c r="E43" s="473"/>
      <c r="F43" s="473"/>
      <c r="G43" s="473"/>
      <c r="H43" s="473"/>
      <c r="I43" s="473"/>
      <c r="J43" s="473"/>
      <c r="K43" s="474"/>
      <c r="L43" s="125"/>
    </row>
    <row r="44" spans="1:12" x14ac:dyDescent="0.2">
      <c r="A44" s="125"/>
      <c r="B44" s="475"/>
      <c r="C44" s="476"/>
      <c r="D44" s="476"/>
      <c r="E44" s="476"/>
      <c r="F44" s="476"/>
      <c r="G44" s="476"/>
      <c r="H44" s="476"/>
      <c r="I44" s="476"/>
      <c r="J44" s="476"/>
      <c r="K44" s="477"/>
      <c r="L44" s="125"/>
    </row>
    <row r="45" spans="1:12" ht="8.1" customHeight="1" x14ac:dyDescent="0.2">
      <c r="A45" s="125"/>
      <c r="B45" s="180"/>
      <c r="C45" s="470"/>
      <c r="D45" s="470"/>
      <c r="E45" s="470"/>
      <c r="F45" s="470"/>
      <c r="G45" s="470"/>
      <c r="H45" s="470"/>
      <c r="I45" s="181"/>
      <c r="J45" s="181"/>
      <c r="K45" s="182"/>
      <c r="L45" s="125"/>
    </row>
    <row r="46" spans="1:12" ht="25.5" x14ac:dyDescent="0.2">
      <c r="A46" s="125"/>
      <c r="B46" s="163"/>
      <c r="C46" s="189" t="s">
        <v>471</v>
      </c>
      <c r="D46" s="185" t="s">
        <v>184</v>
      </c>
      <c r="E46" s="185" t="s">
        <v>185</v>
      </c>
      <c r="F46" s="185" t="s">
        <v>186</v>
      </c>
      <c r="G46" s="185" t="s">
        <v>187</v>
      </c>
      <c r="H46" s="186" t="s">
        <v>188</v>
      </c>
      <c r="I46" s="186" t="s">
        <v>189</v>
      </c>
      <c r="J46" s="165"/>
      <c r="K46" s="164"/>
      <c r="L46" s="125"/>
    </row>
    <row r="47" spans="1:12" x14ac:dyDescent="0.2">
      <c r="A47" s="125"/>
      <c r="B47" s="163"/>
      <c r="C47" s="147" t="s">
        <v>190</v>
      </c>
      <c r="D47" s="122" t="s">
        <v>191</v>
      </c>
      <c r="E47" s="122">
        <v>1</v>
      </c>
      <c r="F47" s="148">
        <v>60</v>
      </c>
      <c r="G47" s="149">
        <f>12/F47*E47</f>
        <v>0.2</v>
      </c>
      <c r="H47" s="245">
        <v>1980.49</v>
      </c>
      <c r="I47" s="124">
        <f>G47*H47</f>
        <v>396.09800000000001</v>
      </c>
      <c r="J47" s="165"/>
      <c r="K47" s="164"/>
      <c r="L47" s="125"/>
    </row>
    <row r="48" spans="1:12" ht="25.5" x14ac:dyDescent="0.2">
      <c r="A48" s="125"/>
      <c r="B48" s="163"/>
      <c r="C48" s="135" t="s">
        <v>248</v>
      </c>
      <c r="D48" s="136" t="s">
        <v>191</v>
      </c>
      <c r="E48" s="136">
        <v>1</v>
      </c>
      <c r="F48" s="137">
        <v>60</v>
      </c>
      <c r="G48" s="138">
        <v>0.2</v>
      </c>
      <c r="H48" s="245">
        <v>1812.36</v>
      </c>
      <c r="I48" s="124">
        <f>G48*H48</f>
        <v>362.47199999999998</v>
      </c>
      <c r="J48" s="165"/>
      <c r="K48" s="164"/>
      <c r="L48" s="125"/>
    </row>
    <row r="49" spans="1:12" x14ac:dyDescent="0.2">
      <c r="A49" s="125"/>
      <c r="B49" s="163"/>
      <c r="C49" s="471" t="s">
        <v>197</v>
      </c>
      <c r="D49" s="471"/>
      <c r="E49" s="471"/>
      <c r="F49" s="471"/>
      <c r="G49" s="471"/>
      <c r="H49" s="471"/>
      <c r="I49" s="178">
        <f>SUM(I47:I48)</f>
        <v>758.56999999999994</v>
      </c>
      <c r="J49" s="165"/>
      <c r="K49" s="164"/>
      <c r="L49" s="125"/>
    </row>
    <row r="50" spans="1:12" ht="12.75" customHeight="1" x14ac:dyDescent="0.2">
      <c r="A50" s="125"/>
      <c r="B50" s="163"/>
      <c r="C50" s="478" t="s">
        <v>198</v>
      </c>
      <c r="D50" s="478"/>
      <c r="E50" s="478"/>
      <c r="F50" s="478"/>
      <c r="G50" s="478"/>
      <c r="H50" s="478"/>
      <c r="I50" s="179">
        <f>I49/12</f>
        <v>63.214166666666664</v>
      </c>
      <c r="J50" s="165"/>
      <c r="K50" s="164"/>
      <c r="L50" s="125"/>
    </row>
    <row r="51" spans="1:12" ht="12.75" customHeight="1" thickBot="1" x14ac:dyDescent="0.25">
      <c r="A51" s="125"/>
      <c r="B51" s="167"/>
      <c r="C51" s="168"/>
      <c r="D51" s="168"/>
      <c r="E51" s="168"/>
      <c r="F51" s="168"/>
      <c r="G51" s="168"/>
      <c r="H51" s="168"/>
      <c r="I51" s="168"/>
      <c r="J51" s="168"/>
      <c r="K51" s="169"/>
      <c r="L51" s="125"/>
    </row>
    <row r="52" spans="1:12" ht="12.75" customHeight="1" thickTop="1" thickBot="1" x14ac:dyDescent="0.25">
      <c r="A52" s="125"/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</row>
    <row r="53" spans="1:12" ht="12.75" customHeight="1" thickTop="1" x14ac:dyDescent="0.2">
      <c r="A53" s="125"/>
      <c r="B53" s="472" t="s">
        <v>212</v>
      </c>
      <c r="C53" s="473"/>
      <c r="D53" s="473"/>
      <c r="E53" s="473"/>
      <c r="F53" s="473"/>
      <c r="G53" s="473"/>
      <c r="H53" s="473"/>
      <c r="I53" s="473"/>
      <c r="J53" s="473"/>
      <c r="K53" s="474"/>
      <c r="L53" s="125"/>
    </row>
    <row r="54" spans="1:12" x14ac:dyDescent="0.2">
      <c r="A54" s="125"/>
      <c r="B54" s="475"/>
      <c r="C54" s="476"/>
      <c r="D54" s="476"/>
      <c r="E54" s="476"/>
      <c r="F54" s="476"/>
      <c r="G54" s="476"/>
      <c r="H54" s="476"/>
      <c r="I54" s="476"/>
      <c r="J54" s="476"/>
      <c r="K54" s="477"/>
      <c r="L54" s="125"/>
    </row>
    <row r="55" spans="1:12" ht="8.1" customHeight="1" x14ac:dyDescent="0.2">
      <c r="A55" s="125"/>
      <c r="B55" s="180"/>
      <c r="C55" s="470"/>
      <c r="D55" s="470"/>
      <c r="E55" s="470"/>
      <c r="F55" s="470"/>
      <c r="G55" s="470"/>
      <c r="H55" s="470"/>
      <c r="I55" s="181"/>
      <c r="J55" s="181"/>
      <c r="K55" s="182"/>
      <c r="L55" s="125"/>
    </row>
    <row r="56" spans="1:12" ht="31.5" x14ac:dyDescent="0.2">
      <c r="A56" s="125"/>
      <c r="B56" s="163"/>
      <c r="C56" s="190" t="s">
        <v>438</v>
      </c>
      <c r="D56" s="469" t="s">
        <v>213</v>
      </c>
      <c r="E56" s="469"/>
      <c r="F56" s="469" t="s">
        <v>214</v>
      </c>
      <c r="G56" s="469"/>
      <c r="H56" s="191" t="s">
        <v>242</v>
      </c>
      <c r="I56" s="191" t="s">
        <v>244</v>
      </c>
      <c r="J56" s="191" t="s">
        <v>243</v>
      </c>
      <c r="K56" s="170"/>
      <c r="L56" s="125"/>
    </row>
    <row r="57" spans="1:12" x14ac:dyDescent="0.2">
      <c r="A57" s="125"/>
      <c r="B57" s="163"/>
      <c r="C57" s="160" t="str">
        <f>C4</f>
        <v>MATERIAIS - VIGILANTE</v>
      </c>
      <c r="D57" s="468">
        <f>I11</f>
        <v>810.51</v>
      </c>
      <c r="E57" s="468">
        <f>SUM(D57:D57)</f>
        <v>810.51</v>
      </c>
      <c r="F57" s="468">
        <f>ROUND(D57/12,2)</f>
        <v>67.540000000000006</v>
      </c>
      <c r="G57" s="468"/>
      <c r="H57" s="264">
        <v>2</v>
      </c>
      <c r="I57" s="161">
        <f>F57*1</f>
        <v>67.540000000000006</v>
      </c>
      <c r="J57" s="161">
        <f>ROUND(I57/H57,2)</f>
        <v>33.770000000000003</v>
      </c>
      <c r="K57" s="171"/>
      <c r="L57" s="129"/>
    </row>
    <row r="58" spans="1:12" x14ac:dyDescent="0.2">
      <c r="A58" s="125"/>
      <c r="B58" s="163"/>
      <c r="C58" s="160" t="str">
        <f>C14</f>
        <v>EQUIPAMENTOS - VIGILANTE</v>
      </c>
      <c r="D58" s="468">
        <f>I20</f>
        <v>2163.35</v>
      </c>
      <c r="E58" s="468"/>
      <c r="F58" s="468">
        <f>ROUND(D58/12,2)</f>
        <v>180.28</v>
      </c>
      <c r="G58" s="468"/>
      <c r="H58" s="264">
        <v>2</v>
      </c>
      <c r="I58" s="161">
        <f>F58*1</f>
        <v>180.28</v>
      </c>
      <c r="J58" s="161">
        <f>ROUND(I58/H58,2)</f>
        <v>90.14</v>
      </c>
      <c r="K58" s="171"/>
      <c r="L58" s="129"/>
    </row>
    <row r="59" spans="1:12" x14ac:dyDescent="0.2">
      <c r="A59" s="125"/>
      <c r="B59" s="163"/>
      <c r="C59" s="160" t="str">
        <f>C23</f>
        <v>UNIFORMES - VIGILANTE (individual para posto)</v>
      </c>
      <c r="D59" s="468">
        <f>I39</f>
        <v>5110.8999999999996</v>
      </c>
      <c r="E59" s="468"/>
      <c r="F59" s="468">
        <f>ROUND(D59/12,2)</f>
        <v>425.91</v>
      </c>
      <c r="G59" s="468"/>
      <c r="H59" s="264">
        <v>2</v>
      </c>
      <c r="I59" s="161">
        <f>F59*1</f>
        <v>425.91</v>
      </c>
      <c r="J59" s="161">
        <f>ROUND(I59/H59,2)</f>
        <v>212.96</v>
      </c>
      <c r="K59" s="171"/>
      <c r="L59" s="129"/>
    </row>
    <row r="60" spans="1:12" x14ac:dyDescent="0.2">
      <c r="A60" s="125"/>
      <c r="B60" s="163"/>
      <c r="C60" s="160" t="str">
        <f>C46</f>
        <v>EQUIPAMENTOS DE USO GERAL  - VIGILANTES</v>
      </c>
      <c r="D60" s="468">
        <f>I49</f>
        <v>758.56999999999994</v>
      </c>
      <c r="E60" s="468"/>
      <c r="F60" s="468">
        <f>ROUND(D60/12,2)</f>
        <v>63.21</v>
      </c>
      <c r="G60" s="468"/>
      <c r="H60" s="265">
        <v>3</v>
      </c>
      <c r="I60" s="161">
        <f>F60*1</f>
        <v>63.21</v>
      </c>
      <c r="J60" s="161">
        <f>ROUND(I60/H60,2)</f>
        <v>21.07</v>
      </c>
      <c r="K60" s="171"/>
      <c r="L60" s="129"/>
    </row>
    <row r="61" spans="1:12" x14ac:dyDescent="0.2">
      <c r="A61" s="125"/>
      <c r="B61" s="163"/>
      <c r="C61" s="179" t="s">
        <v>245</v>
      </c>
      <c r="D61" s="464">
        <f>D57+D58+D59+D60</f>
        <v>8843.33</v>
      </c>
      <c r="E61" s="464"/>
      <c r="F61" s="464">
        <v>205.81000000000003</v>
      </c>
      <c r="G61" s="464"/>
      <c r="H61" s="188"/>
      <c r="I61" s="188">
        <f>I60+I59+I58+I57</f>
        <v>736.93999999999994</v>
      </c>
      <c r="J61" s="188">
        <f>J60+J59+J58+J57</f>
        <v>357.94</v>
      </c>
      <c r="K61" s="172"/>
      <c r="L61" s="129"/>
    </row>
    <row r="62" spans="1:12" x14ac:dyDescent="0.2">
      <c r="A62" s="125"/>
      <c r="B62" s="163"/>
      <c r="C62" s="470"/>
      <c r="D62" s="470"/>
      <c r="E62" s="470"/>
      <c r="F62" s="470"/>
      <c r="G62" s="470"/>
      <c r="H62" s="470"/>
      <c r="I62" s="181"/>
      <c r="J62" s="181"/>
      <c r="K62" s="182"/>
      <c r="L62" s="129"/>
    </row>
    <row r="63" spans="1:12" ht="31.5" x14ac:dyDescent="0.2">
      <c r="A63" s="125"/>
      <c r="B63" s="163"/>
      <c r="C63" s="263" t="s">
        <v>439</v>
      </c>
      <c r="D63" s="469" t="s">
        <v>213</v>
      </c>
      <c r="E63" s="469"/>
      <c r="F63" s="469" t="s">
        <v>214</v>
      </c>
      <c r="G63" s="469"/>
      <c r="H63" s="191" t="s">
        <v>242</v>
      </c>
      <c r="I63" s="191" t="s">
        <v>244</v>
      </c>
      <c r="J63" s="191" t="s">
        <v>243</v>
      </c>
      <c r="K63" s="170"/>
      <c r="L63" s="129"/>
    </row>
    <row r="64" spans="1:12" x14ac:dyDescent="0.2">
      <c r="A64" s="125"/>
      <c r="B64" s="163"/>
      <c r="C64" s="160" t="str">
        <f>C4</f>
        <v>MATERIAIS - VIGILANTE</v>
      </c>
      <c r="D64" s="468">
        <f>I11</f>
        <v>810.51</v>
      </c>
      <c r="E64" s="468">
        <f>SUM(D64:D64)</f>
        <v>810.51</v>
      </c>
      <c r="F64" s="468">
        <f>ROUND(D64/12,2)</f>
        <v>67.540000000000006</v>
      </c>
      <c r="G64" s="468"/>
      <c r="H64" s="264">
        <v>1</v>
      </c>
      <c r="I64" s="161">
        <f>F64*1</f>
        <v>67.540000000000006</v>
      </c>
      <c r="J64" s="161">
        <f>ROUND(I64/H64,2)</f>
        <v>67.540000000000006</v>
      </c>
      <c r="K64" s="171"/>
      <c r="L64" s="129"/>
    </row>
    <row r="65" spans="1:12" x14ac:dyDescent="0.2">
      <c r="A65" s="125"/>
      <c r="B65" s="163"/>
      <c r="C65" s="160" t="str">
        <f>C14</f>
        <v>EQUIPAMENTOS - VIGILANTE</v>
      </c>
      <c r="D65" s="468">
        <f>I20</f>
        <v>2163.35</v>
      </c>
      <c r="E65" s="468"/>
      <c r="F65" s="468">
        <f>ROUND(D65/12,2)</f>
        <v>180.28</v>
      </c>
      <c r="G65" s="468"/>
      <c r="H65" s="264">
        <v>1</v>
      </c>
      <c r="I65" s="161">
        <f>F65*1</f>
        <v>180.28</v>
      </c>
      <c r="J65" s="161">
        <f>ROUND(I65/H65,2)</f>
        <v>180.28</v>
      </c>
      <c r="K65" s="171"/>
      <c r="L65" s="129"/>
    </row>
    <row r="66" spans="1:12" x14ac:dyDescent="0.2">
      <c r="A66" s="125"/>
      <c r="B66" s="163"/>
      <c r="C66" s="160" t="str">
        <f>C23</f>
        <v>UNIFORMES - VIGILANTE (individual para posto)</v>
      </c>
      <c r="D66" s="468">
        <f>I39</f>
        <v>5110.8999999999996</v>
      </c>
      <c r="E66" s="468"/>
      <c r="F66" s="468">
        <f>ROUND(D66/12,2)</f>
        <v>425.91</v>
      </c>
      <c r="G66" s="468"/>
      <c r="H66" s="264">
        <v>1</v>
      </c>
      <c r="I66" s="161">
        <f>F66*1</f>
        <v>425.91</v>
      </c>
      <c r="J66" s="161">
        <f>ROUND(I66/H66,2)</f>
        <v>425.91</v>
      </c>
      <c r="K66" s="171"/>
      <c r="L66" s="129"/>
    </row>
    <row r="67" spans="1:12" x14ac:dyDescent="0.2">
      <c r="A67" s="125"/>
      <c r="B67" s="163"/>
      <c r="C67" s="160" t="str">
        <f>C46</f>
        <v>EQUIPAMENTOS DE USO GERAL  - VIGILANTES</v>
      </c>
      <c r="D67" s="468">
        <f>I49</f>
        <v>758.56999999999994</v>
      </c>
      <c r="E67" s="468"/>
      <c r="F67" s="468">
        <f>ROUND(D67/12,2)</f>
        <v>63.21</v>
      </c>
      <c r="G67" s="468"/>
      <c r="H67" s="265">
        <v>3</v>
      </c>
      <c r="I67" s="161">
        <f>F67*1</f>
        <v>63.21</v>
      </c>
      <c r="J67" s="161">
        <f>ROUND(I67/H67,2)</f>
        <v>21.07</v>
      </c>
      <c r="K67" s="171"/>
      <c r="L67" s="129"/>
    </row>
    <row r="68" spans="1:12" x14ac:dyDescent="0.2">
      <c r="A68" s="125"/>
      <c r="B68" s="163"/>
      <c r="C68" s="179" t="s">
        <v>245</v>
      </c>
      <c r="D68" s="464">
        <f>D64+D65+D66+D67</f>
        <v>8843.33</v>
      </c>
      <c r="E68" s="464"/>
      <c r="F68" s="464">
        <v>205.81000000000003</v>
      </c>
      <c r="G68" s="464"/>
      <c r="H68" s="188"/>
      <c r="I68" s="188">
        <f>I67+I66+I65+I64</f>
        <v>736.93999999999994</v>
      </c>
      <c r="J68" s="188">
        <f>J67+J66+J65+J64</f>
        <v>694.8</v>
      </c>
      <c r="K68" s="172"/>
      <c r="L68" s="129"/>
    </row>
    <row r="69" spans="1:12" ht="13.5" thickBot="1" x14ac:dyDescent="0.25">
      <c r="A69" s="125"/>
      <c r="B69" s="167"/>
      <c r="C69" s="173"/>
      <c r="D69" s="174"/>
      <c r="E69" s="174"/>
      <c r="F69" s="174"/>
      <c r="G69" s="174"/>
      <c r="H69" s="175"/>
      <c r="I69" s="168"/>
      <c r="J69" s="168"/>
      <c r="K69" s="169"/>
      <c r="L69" s="125"/>
    </row>
    <row r="70" spans="1:12" ht="11.25" customHeight="1" thickTop="1" x14ac:dyDescent="0.2">
      <c r="A70" s="125"/>
      <c r="B70" s="125"/>
      <c r="C70" s="145"/>
      <c r="D70" s="146"/>
      <c r="E70" s="146"/>
      <c r="F70" s="146"/>
      <c r="G70" s="146"/>
      <c r="H70" s="127"/>
      <c r="I70" s="125"/>
      <c r="J70" s="125"/>
      <c r="K70" s="125"/>
      <c r="L70" s="125"/>
    </row>
    <row r="71" spans="1:12" hidden="1" x14ac:dyDescent="0.2">
      <c r="A71" s="125"/>
      <c r="B71" s="125"/>
      <c r="C71" s="145"/>
      <c r="D71" s="146"/>
      <c r="E71" s="146"/>
      <c r="F71" s="146"/>
      <c r="G71" s="146"/>
      <c r="H71" s="127"/>
      <c r="I71" s="125"/>
      <c r="J71" s="125"/>
      <c r="K71" s="125"/>
      <c r="L71" s="125"/>
    </row>
    <row r="72" spans="1:12" hidden="1" x14ac:dyDescent="0.2">
      <c r="A72" s="125"/>
      <c r="B72" s="125"/>
      <c r="C72" s="145"/>
      <c r="D72" s="146"/>
      <c r="E72" s="146"/>
      <c r="F72" s="146"/>
      <c r="G72" s="146"/>
      <c r="H72" s="127"/>
      <c r="I72" s="125"/>
      <c r="J72" s="125"/>
      <c r="K72" s="125"/>
      <c r="L72" s="125"/>
    </row>
    <row r="73" spans="1:12" hidden="1" x14ac:dyDescent="0.2">
      <c r="A73" s="125"/>
      <c r="B73" s="125"/>
      <c r="C73" s="145"/>
      <c r="D73" s="146"/>
      <c r="E73" s="146"/>
      <c r="F73" s="146"/>
      <c r="G73" s="146"/>
      <c r="H73" s="127"/>
      <c r="I73" s="125"/>
      <c r="J73" s="125"/>
      <c r="K73" s="125"/>
      <c r="L73" s="125"/>
    </row>
    <row r="74" spans="1:12" hidden="1" x14ac:dyDescent="0.2">
      <c r="A74" s="125"/>
      <c r="B74" s="125"/>
      <c r="C74" s="145"/>
      <c r="D74" s="146"/>
      <c r="E74" s="146"/>
      <c r="F74" s="146"/>
      <c r="G74" s="146"/>
      <c r="H74" s="127"/>
      <c r="I74" s="125"/>
      <c r="J74" s="125"/>
      <c r="K74" s="125"/>
      <c r="L74" s="125"/>
    </row>
    <row r="75" spans="1:12" hidden="1" x14ac:dyDescent="0.2">
      <c r="A75" s="125"/>
      <c r="B75" s="125"/>
      <c r="C75" s="145"/>
      <c r="D75" s="146"/>
      <c r="E75" s="146"/>
      <c r="F75" s="146"/>
      <c r="G75" s="146"/>
      <c r="H75" s="127"/>
      <c r="I75" s="125"/>
      <c r="J75" s="125"/>
      <c r="K75" s="125"/>
      <c r="L75" s="125"/>
    </row>
    <row r="76" spans="1:12" hidden="1" x14ac:dyDescent="0.2">
      <c r="A76" s="125"/>
      <c r="B76" s="125"/>
      <c r="C76" s="145"/>
      <c r="D76" s="146"/>
      <c r="E76" s="146"/>
      <c r="F76" s="146"/>
      <c r="G76" s="146"/>
      <c r="H76" s="154"/>
      <c r="I76" s="125"/>
      <c r="J76" s="125"/>
      <c r="K76" s="125"/>
      <c r="L76" s="125"/>
    </row>
    <row r="77" spans="1:12" hidden="1" x14ac:dyDescent="0.2">
      <c r="A77" s="125"/>
      <c r="B77" s="125"/>
      <c r="C77" s="125"/>
      <c r="D77" s="126"/>
      <c r="E77" s="126"/>
      <c r="F77" s="126"/>
      <c r="G77" s="154"/>
      <c r="H77" s="154"/>
      <c r="I77" s="125"/>
      <c r="J77" s="125"/>
      <c r="K77" s="125"/>
      <c r="L77" s="125"/>
    </row>
    <row r="78" spans="1:12" hidden="1" x14ac:dyDescent="0.2">
      <c r="A78" s="125"/>
      <c r="B78" s="125"/>
      <c r="C78" s="125"/>
      <c r="D78" s="126"/>
      <c r="E78" s="126"/>
      <c r="F78" s="126"/>
      <c r="G78" s="154"/>
      <c r="H78" s="154"/>
      <c r="I78" s="125"/>
      <c r="J78" s="125"/>
      <c r="K78" s="125"/>
      <c r="L78" s="125"/>
    </row>
    <row r="79" spans="1:12" hidden="1" x14ac:dyDescent="0.2">
      <c r="A79" s="125"/>
      <c r="B79" s="125"/>
      <c r="K79" s="125"/>
    </row>
    <row r="80" spans="1:12" hidden="1" x14ac:dyDescent="0.2">
      <c r="A80" s="125"/>
      <c r="B80" s="125"/>
      <c r="K80" s="125"/>
    </row>
    <row r="81" spans="1:11" hidden="1" x14ac:dyDescent="0.2">
      <c r="A81" s="125"/>
      <c r="B81" s="125"/>
      <c r="K81" s="125"/>
    </row>
    <row r="82" spans="1:11" hidden="1" x14ac:dyDescent="0.2">
      <c r="A82" s="125"/>
      <c r="B82" s="125"/>
      <c r="K82" s="125"/>
    </row>
    <row r="83" spans="1:11" hidden="1" x14ac:dyDescent="0.2">
      <c r="A83" s="125"/>
      <c r="B83" s="125"/>
      <c r="K83" s="125"/>
    </row>
    <row r="84" spans="1:11" hidden="1" x14ac:dyDescent="0.2">
      <c r="A84" s="125"/>
      <c r="B84" s="125"/>
      <c r="K84" s="125"/>
    </row>
    <row r="85" spans="1:11" hidden="1" x14ac:dyDescent="0.2">
      <c r="A85" s="125"/>
      <c r="B85" s="125"/>
      <c r="K85" s="125"/>
    </row>
    <row r="86" spans="1:11" hidden="1" x14ac:dyDescent="0.2">
      <c r="A86" s="125"/>
      <c r="B86" s="125"/>
      <c r="K86" s="125"/>
    </row>
    <row r="87" spans="1:11" hidden="1" x14ac:dyDescent="0.2">
      <c r="A87" s="125"/>
      <c r="B87" s="125"/>
      <c r="K87" s="125"/>
    </row>
    <row r="88" spans="1:11" hidden="1" x14ac:dyDescent="0.2">
      <c r="A88" s="125"/>
      <c r="B88" s="125"/>
      <c r="K88" s="125"/>
    </row>
    <row r="89" spans="1:11" hidden="1" x14ac:dyDescent="0.2">
      <c r="A89" s="125"/>
      <c r="B89" s="125"/>
      <c r="K89" s="125"/>
    </row>
    <row r="90" spans="1:11" hidden="1" x14ac:dyDescent="0.2">
      <c r="A90" s="125"/>
      <c r="B90" s="125"/>
      <c r="K90" s="125"/>
    </row>
    <row r="91" spans="1:11" hidden="1" x14ac:dyDescent="0.2">
      <c r="A91" s="125"/>
      <c r="B91" s="125"/>
      <c r="K91" s="125"/>
    </row>
    <row r="92" spans="1:11" hidden="1" x14ac:dyDescent="0.2">
      <c r="A92" s="125"/>
      <c r="B92" s="125"/>
      <c r="K92" s="125"/>
    </row>
    <row r="93" spans="1:11" hidden="1" x14ac:dyDescent="0.2">
      <c r="A93" s="125"/>
      <c r="B93" s="125"/>
    </row>
    <row r="94" spans="1:11" hidden="1" x14ac:dyDescent="0.2">
      <c r="A94" s="125"/>
      <c r="B94" s="125"/>
    </row>
    <row r="95" spans="1:11" x14ac:dyDescent="0.2"/>
    <row r="96" spans="1:11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</sheetData>
  <mergeCells count="41">
    <mergeCell ref="C49:H49"/>
    <mergeCell ref="F59:G59"/>
    <mergeCell ref="C55:H55"/>
    <mergeCell ref="B2:K2"/>
    <mergeCell ref="B43:K44"/>
    <mergeCell ref="B53:K54"/>
    <mergeCell ref="C13:H13"/>
    <mergeCell ref="C50:H50"/>
    <mergeCell ref="C22:H22"/>
    <mergeCell ref="D56:E56"/>
    <mergeCell ref="C12:H12"/>
    <mergeCell ref="C20:H20"/>
    <mergeCell ref="C3:H3"/>
    <mergeCell ref="C11:H11"/>
    <mergeCell ref="C21:H21"/>
    <mergeCell ref="C45:H45"/>
    <mergeCell ref="F56:G56"/>
    <mergeCell ref="D58:E58"/>
    <mergeCell ref="F60:G60"/>
    <mergeCell ref="D61:E61"/>
    <mergeCell ref="F61:G61"/>
    <mergeCell ref="D59:E59"/>
    <mergeCell ref="F57:G57"/>
    <mergeCell ref="D60:E60"/>
    <mergeCell ref="D57:E57"/>
    <mergeCell ref="D68:E68"/>
    <mergeCell ref="F68:G68"/>
    <mergeCell ref="C39:H39"/>
    <mergeCell ref="C40:H40"/>
    <mergeCell ref="D65:E65"/>
    <mergeCell ref="F65:G65"/>
    <mergeCell ref="D66:E66"/>
    <mergeCell ref="F66:G66"/>
    <mergeCell ref="D67:E67"/>
    <mergeCell ref="F67:G67"/>
    <mergeCell ref="D63:E63"/>
    <mergeCell ref="F63:G63"/>
    <mergeCell ref="D64:E64"/>
    <mergeCell ref="F64:G64"/>
    <mergeCell ref="C62:H62"/>
    <mergeCell ref="F58:G58"/>
  </mergeCells>
  <pageMargins left="0.19685039370078741" right="0.19685039370078741" top="0.19685039370078741" bottom="0.19685039370078741" header="0.31496062992125984" footer="0.31496062992125984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8FEA9-851C-4DC0-9E83-686DB7E76702}">
  <dimension ref="A1:A45"/>
  <sheetViews>
    <sheetView workbookViewId="0">
      <selection activeCell="N29" sqref="N29"/>
    </sheetView>
  </sheetViews>
  <sheetFormatPr defaultColWidth="0" defaultRowHeight="12.75" zeroHeight="1" x14ac:dyDescent="0.2"/>
  <cols>
    <col min="1" max="14" width="9.28515625" style="111" customWidth="1"/>
    <col min="15" max="16384" width="0" style="111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</sheetData>
  <pageMargins left="1.1811023622047245" right="0.19685039370078741" top="0.19685039370078741" bottom="0.19685039370078741" header="0" footer="0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DEBD8-4CFB-47B3-A8CD-F5B0CC5CB80E}">
  <dimension ref="A1:AA104"/>
  <sheetViews>
    <sheetView zoomScale="120" zoomScaleNormal="120" workbookViewId="0">
      <selection activeCell="H7" sqref="H7"/>
    </sheetView>
  </sheetViews>
  <sheetFormatPr defaultColWidth="0" defaultRowHeight="12.75" zeroHeight="1" x14ac:dyDescent="0.2"/>
  <cols>
    <col min="1" max="1" width="1.5703125" customWidth="1"/>
    <col min="2" max="2" width="3.7109375" customWidth="1"/>
    <col min="3" max="3" width="51.5703125" customWidth="1"/>
    <col min="4" max="8" width="8.7109375" customWidth="1"/>
    <col min="9" max="10" width="9.7109375" customWidth="1"/>
    <col min="11" max="14" width="8.7109375" customWidth="1"/>
    <col min="15" max="15" width="1.28515625" customWidth="1"/>
    <col min="16" max="18" width="42.7109375" hidden="1" customWidth="1"/>
  </cols>
  <sheetData>
    <row r="1" spans="1:15" ht="13.5" thickBot="1" x14ac:dyDescent="0.25">
      <c r="A1" s="111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</row>
    <row r="2" spans="1:15" ht="28.5" customHeight="1" thickBot="1" x14ac:dyDescent="0.25">
      <c r="A2" s="111"/>
      <c r="B2" s="484" t="s">
        <v>353</v>
      </c>
      <c r="C2" s="485"/>
      <c r="D2" s="482" t="s">
        <v>355</v>
      </c>
      <c r="E2" s="483"/>
      <c r="F2" s="498" t="s">
        <v>358</v>
      </c>
      <c r="G2" s="499"/>
      <c r="H2" s="500"/>
      <c r="I2" s="496" t="s">
        <v>365</v>
      </c>
      <c r="J2" s="488" t="s">
        <v>361</v>
      </c>
      <c r="K2" s="482" t="s">
        <v>425</v>
      </c>
      <c r="L2" s="483"/>
      <c r="M2" s="482" t="s">
        <v>366</v>
      </c>
      <c r="N2" s="483"/>
      <c r="O2" s="111"/>
    </row>
    <row r="3" spans="1:15" ht="15" customHeight="1" thickBot="1" x14ac:dyDescent="0.25">
      <c r="A3" s="111"/>
      <c r="B3" s="486"/>
      <c r="C3" s="487"/>
      <c r="D3" s="229" t="s">
        <v>356</v>
      </c>
      <c r="E3" s="230" t="s">
        <v>357</v>
      </c>
      <c r="F3" s="229" t="s">
        <v>359</v>
      </c>
      <c r="G3" s="231" t="s">
        <v>360</v>
      </c>
      <c r="H3" s="232" t="s">
        <v>364</v>
      </c>
      <c r="I3" s="497"/>
      <c r="J3" s="489"/>
      <c r="K3" s="229" t="s">
        <v>362</v>
      </c>
      <c r="L3" s="230" t="s">
        <v>363</v>
      </c>
      <c r="M3" s="229" t="s">
        <v>362</v>
      </c>
      <c r="N3" s="230" t="s">
        <v>363</v>
      </c>
      <c r="O3" s="111"/>
    </row>
    <row r="4" spans="1:15" ht="15" customHeight="1" x14ac:dyDescent="0.2">
      <c r="A4" s="111"/>
      <c r="B4" s="207">
        <v>1</v>
      </c>
      <c r="C4" s="208" t="s">
        <v>367</v>
      </c>
      <c r="D4" s="209"/>
      <c r="E4" s="210" t="s">
        <v>354</v>
      </c>
      <c r="F4" s="209"/>
      <c r="G4" s="211" t="s">
        <v>354</v>
      </c>
      <c r="H4" s="212"/>
      <c r="I4" s="213" t="s">
        <v>391</v>
      </c>
      <c r="J4" s="233" t="s">
        <v>395</v>
      </c>
      <c r="K4" s="209" t="s">
        <v>354</v>
      </c>
      <c r="L4" s="210"/>
      <c r="M4" s="209" t="s">
        <v>354</v>
      </c>
      <c r="N4" s="210"/>
      <c r="O4" s="111"/>
    </row>
    <row r="5" spans="1:15" ht="15" customHeight="1" x14ac:dyDescent="0.2">
      <c r="A5" s="111"/>
      <c r="B5" s="214">
        <f>B4+1</f>
        <v>2</v>
      </c>
      <c r="C5" s="215" t="s">
        <v>368</v>
      </c>
      <c r="D5" s="216"/>
      <c r="E5" s="217" t="s">
        <v>354</v>
      </c>
      <c r="F5" s="216"/>
      <c r="G5" s="218" t="s">
        <v>354</v>
      </c>
      <c r="H5" s="219"/>
      <c r="I5" s="220" t="s">
        <v>391</v>
      </c>
      <c r="J5" s="234" t="s">
        <v>395</v>
      </c>
      <c r="K5" s="216" t="s">
        <v>354</v>
      </c>
      <c r="L5" s="217"/>
      <c r="M5" s="216" t="s">
        <v>354</v>
      </c>
      <c r="N5" s="217"/>
      <c r="O5" s="111"/>
    </row>
    <row r="6" spans="1:15" ht="15" customHeight="1" x14ac:dyDescent="0.2">
      <c r="A6" s="111"/>
      <c r="B6" s="214">
        <f t="shared" ref="B6:B27" si="0">B5+1</f>
        <v>3</v>
      </c>
      <c r="C6" s="215" t="s">
        <v>371</v>
      </c>
      <c r="D6" s="216"/>
      <c r="E6" s="217" t="s">
        <v>354</v>
      </c>
      <c r="F6" s="216"/>
      <c r="G6" s="218" t="s">
        <v>354</v>
      </c>
      <c r="H6" s="219"/>
      <c r="I6" s="220" t="s">
        <v>392</v>
      </c>
      <c r="J6" s="234" t="s">
        <v>395</v>
      </c>
      <c r="K6" s="216" t="s">
        <v>354</v>
      </c>
      <c r="L6" s="217"/>
      <c r="M6" s="216" t="s">
        <v>354</v>
      </c>
      <c r="N6" s="217"/>
      <c r="O6" s="111"/>
    </row>
    <row r="7" spans="1:15" ht="15" customHeight="1" x14ac:dyDescent="0.2">
      <c r="A7" s="111"/>
      <c r="B7" s="214">
        <f t="shared" si="0"/>
        <v>4</v>
      </c>
      <c r="C7" s="215" t="s">
        <v>372</v>
      </c>
      <c r="D7" s="216"/>
      <c r="E7" s="217" t="s">
        <v>354</v>
      </c>
      <c r="F7" s="216"/>
      <c r="G7" s="218" t="s">
        <v>354</v>
      </c>
      <c r="H7" s="219"/>
      <c r="I7" s="220" t="s">
        <v>392</v>
      </c>
      <c r="J7" s="234" t="s">
        <v>396</v>
      </c>
      <c r="K7" s="216" t="s">
        <v>354</v>
      </c>
      <c r="L7" s="217"/>
      <c r="M7" s="216" t="s">
        <v>354</v>
      </c>
      <c r="N7" s="217"/>
      <c r="O7" s="111"/>
    </row>
    <row r="8" spans="1:15" ht="15" customHeight="1" x14ac:dyDescent="0.2">
      <c r="A8" s="111"/>
      <c r="B8" s="214">
        <f t="shared" si="0"/>
        <v>5</v>
      </c>
      <c r="C8" s="215" t="s">
        <v>369</v>
      </c>
      <c r="D8" s="216"/>
      <c r="E8" s="217" t="s">
        <v>354</v>
      </c>
      <c r="F8" s="216"/>
      <c r="G8" s="218"/>
      <c r="H8" s="219" t="s">
        <v>354</v>
      </c>
      <c r="I8" s="220" t="s">
        <v>393</v>
      </c>
      <c r="J8" s="234" t="s">
        <v>396</v>
      </c>
      <c r="K8" s="216"/>
      <c r="L8" s="217" t="s">
        <v>354</v>
      </c>
      <c r="M8" s="216" t="s">
        <v>354</v>
      </c>
      <c r="N8" s="217"/>
      <c r="O8" s="111"/>
    </row>
    <row r="9" spans="1:15" ht="15" customHeight="1" x14ac:dyDescent="0.2">
      <c r="A9" s="111"/>
      <c r="B9" s="214">
        <f t="shared" si="0"/>
        <v>6</v>
      </c>
      <c r="C9" s="215" t="s">
        <v>370</v>
      </c>
      <c r="D9" s="216"/>
      <c r="E9" s="217" t="s">
        <v>354</v>
      </c>
      <c r="F9" s="216"/>
      <c r="G9" s="218" t="s">
        <v>354</v>
      </c>
      <c r="H9" s="219"/>
      <c r="I9" s="220" t="s">
        <v>391</v>
      </c>
      <c r="J9" s="234" t="s">
        <v>395</v>
      </c>
      <c r="K9" s="216" t="s">
        <v>354</v>
      </c>
      <c r="L9" s="217"/>
      <c r="M9" s="216" t="s">
        <v>354</v>
      </c>
      <c r="N9" s="217"/>
      <c r="O9" s="111"/>
    </row>
    <row r="10" spans="1:15" ht="15" customHeight="1" x14ac:dyDescent="0.2">
      <c r="A10" s="111"/>
      <c r="B10" s="214">
        <f t="shared" si="0"/>
        <v>7</v>
      </c>
      <c r="C10" s="215" t="s">
        <v>373</v>
      </c>
      <c r="D10" s="216"/>
      <c r="E10" s="217" t="s">
        <v>354</v>
      </c>
      <c r="F10" s="216"/>
      <c r="G10" s="218" t="s">
        <v>354</v>
      </c>
      <c r="H10" s="219"/>
      <c r="I10" s="220" t="s">
        <v>392</v>
      </c>
      <c r="J10" s="234" t="s">
        <v>396</v>
      </c>
      <c r="K10" s="216" t="s">
        <v>354</v>
      </c>
      <c r="L10" s="217"/>
      <c r="M10" s="216" t="s">
        <v>354</v>
      </c>
      <c r="N10" s="217"/>
      <c r="O10" s="111"/>
    </row>
    <row r="11" spans="1:15" ht="15" customHeight="1" x14ac:dyDescent="0.2">
      <c r="A11" s="111"/>
      <c r="B11" s="214">
        <f t="shared" si="0"/>
        <v>8</v>
      </c>
      <c r="C11" s="215" t="s">
        <v>374</v>
      </c>
      <c r="D11" s="216"/>
      <c r="E11" s="217" t="s">
        <v>354</v>
      </c>
      <c r="F11" s="216"/>
      <c r="G11" s="218" t="s">
        <v>354</v>
      </c>
      <c r="H11" s="219"/>
      <c r="I11" s="220" t="s">
        <v>392</v>
      </c>
      <c r="J11" s="234" t="s">
        <v>395</v>
      </c>
      <c r="K11" s="216" t="s">
        <v>354</v>
      </c>
      <c r="L11" s="217"/>
      <c r="M11" s="216" t="s">
        <v>354</v>
      </c>
      <c r="N11" s="217"/>
      <c r="O11" s="111"/>
    </row>
    <row r="12" spans="1:15" ht="15" customHeight="1" x14ac:dyDescent="0.2">
      <c r="A12" s="111"/>
      <c r="B12" s="214">
        <f t="shared" si="0"/>
        <v>9</v>
      </c>
      <c r="C12" s="215" t="s">
        <v>375</v>
      </c>
      <c r="D12" s="216"/>
      <c r="E12" s="217" t="s">
        <v>354</v>
      </c>
      <c r="F12" s="216"/>
      <c r="G12" s="218" t="s">
        <v>354</v>
      </c>
      <c r="H12" s="219"/>
      <c r="I12" s="220" t="s">
        <v>394</v>
      </c>
      <c r="J12" s="234" t="s">
        <v>396</v>
      </c>
      <c r="K12" s="216" t="s">
        <v>354</v>
      </c>
      <c r="L12" s="217"/>
      <c r="M12" s="216" t="s">
        <v>354</v>
      </c>
      <c r="N12" s="217"/>
      <c r="O12" s="111"/>
    </row>
    <row r="13" spans="1:15" ht="15" customHeight="1" x14ac:dyDescent="0.2">
      <c r="A13" s="111"/>
      <c r="B13" s="214">
        <f t="shared" si="0"/>
        <v>10</v>
      </c>
      <c r="C13" s="215" t="s">
        <v>376</v>
      </c>
      <c r="D13" s="216"/>
      <c r="E13" s="217" t="s">
        <v>354</v>
      </c>
      <c r="F13" s="216"/>
      <c r="G13" s="218" t="s">
        <v>354</v>
      </c>
      <c r="H13" s="219"/>
      <c r="I13" s="220" t="s">
        <v>392</v>
      </c>
      <c r="J13" s="234" t="s">
        <v>396</v>
      </c>
      <c r="K13" s="216" t="s">
        <v>354</v>
      </c>
      <c r="L13" s="217"/>
      <c r="M13" s="216" t="s">
        <v>354</v>
      </c>
      <c r="N13" s="217"/>
      <c r="O13" s="166"/>
    </row>
    <row r="14" spans="1:15" ht="15" customHeight="1" x14ac:dyDescent="0.2">
      <c r="A14" s="111"/>
      <c r="B14" s="214">
        <f t="shared" si="0"/>
        <v>11</v>
      </c>
      <c r="C14" s="215" t="s">
        <v>377</v>
      </c>
      <c r="D14" s="216"/>
      <c r="E14" s="217" t="s">
        <v>354</v>
      </c>
      <c r="F14" s="216"/>
      <c r="G14" s="218" t="s">
        <v>354</v>
      </c>
      <c r="H14" s="219"/>
      <c r="I14" s="220" t="s">
        <v>392</v>
      </c>
      <c r="J14" s="234" t="s">
        <v>395</v>
      </c>
      <c r="K14" s="216" t="s">
        <v>354</v>
      </c>
      <c r="L14" s="217"/>
      <c r="M14" s="216" t="s">
        <v>354</v>
      </c>
      <c r="N14" s="217"/>
      <c r="O14" s="166"/>
    </row>
    <row r="15" spans="1:15" ht="15" customHeight="1" x14ac:dyDescent="0.2">
      <c r="A15" s="111"/>
      <c r="B15" s="214">
        <f t="shared" si="0"/>
        <v>12</v>
      </c>
      <c r="C15" s="215" t="s">
        <v>378</v>
      </c>
      <c r="D15" s="216"/>
      <c r="E15" s="217" t="s">
        <v>354</v>
      </c>
      <c r="F15" s="216"/>
      <c r="G15" s="218" t="s">
        <v>354</v>
      </c>
      <c r="H15" s="219"/>
      <c r="I15" s="220" t="s">
        <v>392</v>
      </c>
      <c r="J15" s="234" t="s">
        <v>396</v>
      </c>
      <c r="K15" s="216" t="s">
        <v>354</v>
      </c>
      <c r="L15" s="217"/>
      <c r="M15" s="216" t="s">
        <v>354</v>
      </c>
      <c r="N15" s="217"/>
      <c r="O15" s="111"/>
    </row>
    <row r="16" spans="1:15" ht="15" customHeight="1" x14ac:dyDescent="0.2">
      <c r="A16" s="111"/>
      <c r="B16" s="214">
        <f t="shared" si="0"/>
        <v>13</v>
      </c>
      <c r="C16" s="215" t="s">
        <v>379</v>
      </c>
      <c r="D16" s="216"/>
      <c r="E16" s="217" t="s">
        <v>354</v>
      </c>
      <c r="F16" s="216"/>
      <c r="G16" s="218" t="s">
        <v>354</v>
      </c>
      <c r="H16" s="219"/>
      <c r="I16" s="220" t="s">
        <v>392</v>
      </c>
      <c r="J16" s="234" t="s">
        <v>396</v>
      </c>
      <c r="K16" s="216" t="s">
        <v>354</v>
      </c>
      <c r="L16" s="217"/>
      <c r="M16" s="216" t="s">
        <v>354</v>
      </c>
      <c r="N16" s="217"/>
      <c r="O16" s="111"/>
    </row>
    <row r="17" spans="1:15" ht="15" customHeight="1" x14ac:dyDescent="0.2">
      <c r="A17" s="111"/>
      <c r="B17" s="214">
        <f t="shared" si="0"/>
        <v>14</v>
      </c>
      <c r="C17" s="215" t="s">
        <v>380</v>
      </c>
      <c r="D17" s="216"/>
      <c r="E17" s="217" t="s">
        <v>354</v>
      </c>
      <c r="F17" s="216"/>
      <c r="G17" s="218" t="s">
        <v>354</v>
      </c>
      <c r="H17" s="219"/>
      <c r="I17" s="220" t="s">
        <v>392</v>
      </c>
      <c r="J17" s="234" t="s">
        <v>396</v>
      </c>
      <c r="K17" s="216" t="s">
        <v>354</v>
      </c>
      <c r="L17" s="217"/>
      <c r="M17" s="216" t="s">
        <v>354</v>
      </c>
      <c r="N17" s="217"/>
      <c r="O17" s="111"/>
    </row>
    <row r="18" spans="1:15" ht="15" customHeight="1" x14ac:dyDescent="0.2">
      <c r="A18" s="111"/>
      <c r="B18" s="214">
        <f t="shared" si="0"/>
        <v>15</v>
      </c>
      <c r="C18" s="215" t="s">
        <v>382</v>
      </c>
      <c r="D18" s="216"/>
      <c r="E18" s="217" t="s">
        <v>354</v>
      </c>
      <c r="F18" s="216"/>
      <c r="G18" s="218" t="s">
        <v>354</v>
      </c>
      <c r="H18" s="219"/>
      <c r="I18" s="220" t="s">
        <v>392</v>
      </c>
      <c r="J18" s="234" t="s">
        <v>395</v>
      </c>
      <c r="K18" s="216" t="s">
        <v>354</v>
      </c>
      <c r="L18" s="217"/>
      <c r="M18" s="216" t="s">
        <v>354</v>
      </c>
      <c r="N18" s="217"/>
      <c r="O18" s="111"/>
    </row>
    <row r="19" spans="1:15" ht="15" customHeight="1" x14ac:dyDescent="0.2">
      <c r="A19" s="111"/>
      <c r="B19" s="214">
        <f t="shared" si="0"/>
        <v>16</v>
      </c>
      <c r="C19" s="215" t="s">
        <v>381</v>
      </c>
      <c r="D19" s="216"/>
      <c r="E19" s="217" t="s">
        <v>354</v>
      </c>
      <c r="F19" s="216"/>
      <c r="G19" s="218" t="s">
        <v>354</v>
      </c>
      <c r="H19" s="219"/>
      <c r="I19" s="220" t="s">
        <v>392</v>
      </c>
      <c r="J19" s="234" t="s">
        <v>396</v>
      </c>
      <c r="K19" s="216" t="s">
        <v>354</v>
      </c>
      <c r="L19" s="217"/>
      <c r="M19" s="216" t="s">
        <v>354</v>
      </c>
      <c r="N19" s="217"/>
      <c r="O19" s="111"/>
    </row>
    <row r="20" spans="1:15" ht="15" customHeight="1" x14ac:dyDescent="0.2">
      <c r="A20" s="111"/>
      <c r="B20" s="214">
        <f t="shared" si="0"/>
        <v>17</v>
      </c>
      <c r="C20" s="215" t="s">
        <v>383</v>
      </c>
      <c r="D20" s="216"/>
      <c r="E20" s="217" t="s">
        <v>354</v>
      </c>
      <c r="F20" s="216"/>
      <c r="G20" s="218" t="s">
        <v>354</v>
      </c>
      <c r="H20" s="219"/>
      <c r="I20" s="220" t="s">
        <v>392</v>
      </c>
      <c r="J20" s="234" t="s">
        <v>395</v>
      </c>
      <c r="K20" s="216" t="s">
        <v>354</v>
      </c>
      <c r="L20" s="217"/>
      <c r="M20" s="216" t="s">
        <v>354</v>
      </c>
      <c r="N20" s="217"/>
      <c r="O20" s="111"/>
    </row>
    <row r="21" spans="1:15" ht="15" customHeight="1" x14ac:dyDescent="0.2">
      <c r="A21" s="111"/>
      <c r="B21" s="214">
        <f t="shared" si="0"/>
        <v>18</v>
      </c>
      <c r="C21" s="215" t="s">
        <v>384</v>
      </c>
      <c r="D21" s="216"/>
      <c r="E21" s="217" t="s">
        <v>354</v>
      </c>
      <c r="F21" s="216"/>
      <c r="G21" s="218" t="s">
        <v>354</v>
      </c>
      <c r="H21" s="219"/>
      <c r="I21" s="220" t="s">
        <v>394</v>
      </c>
      <c r="J21" s="234" t="s">
        <v>396</v>
      </c>
      <c r="K21" s="216" t="s">
        <v>354</v>
      </c>
      <c r="L21" s="217"/>
      <c r="M21" s="216" t="s">
        <v>354</v>
      </c>
      <c r="N21" s="217"/>
      <c r="O21" s="111"/>
    </row>
    <row r="22" spans="1:15" ht="15" customHeight="1" x14ac:dyDescent="0.2">
      <c r="A22" s="111"/>
      <c r="B22" s="214">
        <f t="shared" si="0"/>
        <v>19</v>
      </c>
      <c r="C22" s="215" t="s">
        <v>385</v>
      </c>
      <c r="D22" s="216"/>
      <c r="E22" s="217" t="s">
        <v>354</v>
      </c>
      <c r="F22" s="216"/>
      <c r="G22" s="218" t="s">
        <v>354</v>
      </c>
      <c r="H22" s="219"/>
      <c r="I22" s="220" t="s">
        <v>391</v>
      </c>
      <c r="J22" s="234" t="s">
        <v>395</v>
      </c>
      <c r="K22" s="216" t="s">
        <v>354</v>
      </c>
      <c r="L22" s="217"/>
      <c r="M22" s="216" t="s">
        <v>354</v>
      </c>
      <c r="N22" s="217"/>
      <c r="O22" s="111"/>
    </row>
    <row r="23" spans="1:15" ht="15" customHeight="1" x14ac:dyDescent="0.2">
      <c r="A23" s="111"/>
      <c r="B23" s="214">
        <f t="shared" si="0"/>
        <v>20</v>
      </c>
      <c r="C23" s="215" t="s">
        <v>386</v>
      </c>
      <c r="D23" s="216"/>
      <c r="E23" s="217" t="s">
        <v>354</v>
      </c>
      <c r="F23" s="216"/>
      <c r="G23" s="218"/>
      <c r="H23" s="219" t="s">
        <v>354</v>
      </c>
      <c r="I23" s="220" t="s">
        <v>391</v>
      </c>
      <c r="J23" s="234" t="s">
        <v>397</v>
      </c>
      <c r="K23" s="216"/>
      <c r="L23" s="217" t="s">
        <v>354</v>
      </c>
      <c r="M23" s="216" t="s">
        <v>354</v>
      </c>
      <c r="N23" s="217"/>
      <c r="O23" s="111"/>
    </row>
    <row r="24" spans="1:15" ht="15" customHeight="1" x14ac:dyDescent="0.2">
      <c r="A24" s="111"/>
      <c r="B24" s="214">
        <f t="shared" si="0"/>
        <v>21</v>
      </c>
      <c r="C24" s="215" t="s">
        <v>387</v>
      </c>
      <c r="D24" s="216"/>
      <c r="E24" s="217" t="s">
        <v>354</v>
      </c>
      <c r="F24" s="216"/>
      <c r="G24" s="218" t="s">
        <v>354</v>
      </c>
      <c r="H24" s="219"/>
      <c r="I24" s="220" t="s">
        <v>392</v>
      </c>
      <c r="J24" s="234" t="s">
        <v>395</v>
      </c>
      <c r="K24" s="216" t="s">
        <v>354</v>
      </c>
      <c r="L24" s="217"/>
      <c r="M24" s="216" t="s">
        <v>354</v>
      </c>
      <c r="N24" s="217"/>
      <c r="O24" s="111"/>
    </row>
    <row r="25" spans="1:15" ht="15" customHeight="1" x14ac:dyDescent="0.2">
      <c r="A25" s="111"/>
      <c r="B25" s="214">
        <f t="shared" si="0"/>
        <v>22</v>
      </c>
      <c r="C25" s="215" t="s">
        <v>388</v>
      </c>
      <c r="D25" s="216"/>
      <c r="E25" s="217" t="s">
        <v>354</v>
      </c>
      <c r="F25" s="216"/>
      <c r="G25" s="218" t="s">
        <v>354</v>
      </c>
      <c r="H25" s="219"/>
      <c r="I25" s="220" t="s">
        <v>394</v>
      </c>
      <c r="J25" s="234" t="s">
        <v>397</v>
      </c>
      <c r="K25" s="216" t="s">
        <v>354</v>
      </c>
      <c r="L25" s="217"/>
      <c r="M25" s="216" t="s">
        <v>354</v>
      </c>
      <c r="N25" s="217"/>
      <c r="O25" s="111"/>
    </row>
    <row r="26" spans="1:15" ht="15" customHeight="1" x14ac:dyDescent="0.2">
      <c r="A26" s="111"/>
      <c r="B26" s="214">
        <f t="shared" si="0"/>
        <v>23</v>
      </c>
      <c r="C26" s="215" t="s">
        <v>389</v>
      </c>
      <c r="D26" s="216"/>
      <c r="E26" s="217" t="s">
        <v>354</v>
      </c>
      <c r="F26" s="216"/>
      <c r="G26" s="218"/>
      <c r="H26" s="219" t="s">
        <v>354</v>
      </c>
      <c r="I26" s="220" t="s">
        <v>394</v>
      </c>
      <c r="J26" s="234" t="s">
        <v>397</v>
      </c>
      <c r="K26" s="216"/>
      <c r="L26" s="217" t="s">
        <v>354</v>
      </c>
      <c r="M26" s="216" t="s">
        <v>354</v>
      </c>
      <c r="N26" s="217"/>
      <c r="O26" s="111"/>
    </row>
    <row r="27" spans="1:15" ht="15" customHeight="1" thickBot="1" x14ac:dyDescent="0.25">
      <c r="A27" s="111"/>
      <c r="B27" s="221">
        <f t="shared" si="0"/>
        <v>24</v>
      </c>
      <c r="C27" s="222" t="s">
        <v>390</v>
      </c>
      <c r="D27" s="223"/>
      <c r="E27" s="224" t="s">
        <v>354</v>
      </c>
      <c r="F27" s="223"/>
      <c r="G27" s="225" t="s">
        <v>354</v>
      </c>
      <c r="H27" s="226"/>
      <c r="I27" s="227" t="s">
        <v>394</v>
      </c>
      <c r="J27" s="235" t="s">
        <v>397</v>
      </c>
      <c r="K27" s="223" t="s">
        <v>354</v>
      </c>
      <c r="L27" s="224"/>
      <c r="M27" s="223" t="s">
        <v>354</v>
      </c>
      <c r="N27" s="224"/>
      <c r="O27" s="111"/>
    </row>
    <row r="28" spans="1:15" x14ac:dyDescent="0.2">
      <c r="A28" s="111"/>
      <c r="B28" s="228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</row>
    <row r="29" spans="1:15" x14ac:dyDescent="0.2">
      <c r="A29" s="111"/>
      <c r="B29" s="228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</row>
    <row r="30" spans="1:15" x14ac:dyDescent="0.2">
      <c r="A30" s="111"/>
      <c r="B30" s="228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</row>
    <row r="31" spans="1:15" x14ac:dyDescent="0.2">
      <c r="A31" s="111"/>
      <c r="B31" s="228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</row>
    <row r="32" spans="1:15" x14ac:dyDescent="0.2">
      <c r="A32" s="111"/>
      <c r="B32" s="228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</row>
    <row r="33" spans="1:18" x14ac:dyDescent="0.2">
      <c r="A33" s="111"/>
      <c r="B33" s="228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</row>
    <row r="34" spans="1:18" x14ac:dyDescent="0.2">
      <c r="A34" s="111"/>
      <c r="B34" s="228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</row>
    <row r="35" spans="1:18" x14ac:dyDescent="0.2">
      <c r="A35" s="111"/>
      <c r="B35" s="228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</row>
    <row r="36" spans="1:18" x14ac:dyDescent="0.2">
      <c r="A36" s="111"/>
      <c r="B36" s="228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</row>
    <row r="37" spans="1:18" x14ac:dyDescent="0.2">
      <c r="A37" s="111"/>
      <c r="B37" s="228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</row>
    <row r="38" spans="1:18" x14ac:dyDescent="0.2">
      <c r="A38" s="111"/>
      <c r="B38" s="228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</row>
    <row r="39" spans="1:18" x14ac:dyDescent="0.2">
      <c r="A39" s="111"/>
      <c r="B39" s="228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</row>
    <row r="40" spans="1:18" x14ac:dyDescent="0.2">
      <c r="A40" s="111"/>
      <c r="B40" s="228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</row>
    <row r="41" spans="1:18" hidden="1" x14ac:dyDescent="0.2">
      <c r="B41" s="206"/>
    </row>
    <row r="42" spans="1:18" hidden="1" x14ac:dyDescent="0.2">
      <c r="B42" s="206"/>
    </row>
    <row r="43" spans="1:18" hidden="1" x14ac:dyDescent="0.2">
      <c r="B43" s="206"/>
    </row>
    <row r="44" spans="1:18" hidden="1" x14ac:dyDescent="0.2">
      <c r="B44" s="206"/>
    </row>
    <row r="45" spans="1:18" hidden="1" x14ac:dyDescent="0.2">
      <c r="B45" s="206"/>
    </row>
    <row r="46" spans="1:18" ht="18" hidden="1" x14ac:dyDescent="0.25">
      <c r="B46" s="206"/>
      <c r="P46" s="159" t="s">
        <v>276</v>
      </c>
      <c r="Q46" s="159" t="s">
        <v>277</v>
      </c>
      <c r="R46" s="159" t="s">
        <v>278</v>
      </c>
    </row>
    <row r="47" spans="1:18" hidden="1" x14ac:dyDescent="0.2">
      <c r="B47" s="206"/>
    </row>
    <row r="48" spans="1:18" ht="27" hidden="1" customHeight="1" x14ac:dyDescent="0.2">
      <c r="B48" s="206"/>
      <c r="P48" t="s">
        <v>335</v>
      </c>
      <c r="Q48" t="s">
        <v>283</v>
      </c>
      <c r="R48" t="s">
        <v>295</v>
      </c>
    </row>
    <row r="49" spans="2:20" ht="27" hidden="1" customHeight="1" x14ac:dyDescent="0.2">
      <c r="B49" s="206"/>
      <c r="P49" t="s">
        <v>336</v>
      </c>
      <c r="Q49" t="s">
        <v>284</v>
      </c>
      <c r="R49" t="s">
        <v>296</v>
      </c>
    </row>
    <row r="50" spans="2:20" ht="27" hidden="1" customHeight="1" x14ac:dyDescent="0.2">
      <c r="B50" s="206"/>
      <c r="Q50" t="s">
        <v>285</v>
      </c>
      <c r="R50" t="s">
        <v>297</v>
      </c>
    </row>
    <row r="51" spans="2:20" ht="27" hidden="1" customHeight="1" x14ac:dyDescent="0.2">
      <c r="Q51" t="s">
        <v>286</v>
      </c>
      <c r="R51" t="s">
        <v>298</v>
      </c>
    </row>
    <row r="52" spans="2:20" ht="27" hidden="1" customHeight="1" x14ac:dyDescent="0.2">
      <c r="Q52" t="s">
        <v>287</v>
      </c>
      <c r="R52" t="s">
        <v>299</v>
      </c>
    </row>
    <row r="53" spans="2:20" ht="27" hidden="1" customHeight="1" x14ac:dyDescent="0.2">
      <c r="Q53" t="s">
        <v>288</v>
      </c>
    </row>
    <row r="54" spans="2:20" ht="27" hidden="1" customHeight="1" x14ac:dyDescent="0.2">
      <c r="Q54" t="s">
        <v>289</v>
      </c>
    </row>
    <row r="55" spans="2:20" ht="27" hidden="1" customHeight="1" x14ac:dyDescent="0.2"/>
    <row r="56" spans="2:20" ht="27" hidden="1" customHeight="1" x14ac:dyDescent="0.2">
      <c r="B56" t="s">
        <v>270</v>
      </c>
      <c r="P56" s="157" t="s">
        <v>279</v>
      </c>
      <c r="Q56" t="s">
        <v>290</v>
      </c>
    </row>
    <row r="57" spans="2:20" ht="27" hidden="1" customHeight="1" x14ac:dyDescent="0.2">
      <c r="P57" s="158" t="s">
        <v>280</v>
      </c>
      <c r="Q57" t="s">
        <v>291</v>
      </c>
    </row>
    <row r="58" spans="2:20" ht="27" hidden="1" customHeight="1" x14ac:dyDescent="0.2">
      <c r="P58" s="158" t="s">
        <v>281</v>
      </c>
      <c r="Q58" t="s">
        <v>292</v>
      </c>
    </row>
    <row r="59" spans="2:20" ht="27" hidden="1" customHeight="1" x14ac:dyDescent="0.2">
      <c r="P59" s="158" t="s">
        <v>282</v>
      </c>
      <c r="Q59" t="s">
        <v>294</v>
      </c>
    </row>
    <row r="60" spans="2:20" ht="27" hidden="1" customHeight="1" x14ac:dyDescent="0.2">
      <c r="Q60" t="s">
        <v>293</v>
      </c>
      <c r="T60">
        <v>100</v>
      </c>
    </row>
    <row r="61" spans="2:20" ht="27" hidden="1" customHeight="1" x14ac:dyDescent="0.2">
      <c r="Q61" t="s">
        <v>300</v>
      </c>
      <c r="T61">
        <v>6</v>
      </c>
    </row>
    <row r="62" spans="2:20" ht="27" hidden="1" customHeight="1" x14ac:dyDescent="0.2">
      <c r="T62">
        <v>0.2</v>
      </c>
    </row>
    <row r="63" spans="2:20" ht="27" hidden="1" customHeight="1" x14ac:dyDescent="0.2">
      <c r="B63" t="s">
        <v>269</v>
      </c>
      <c r="P63" t="s">
        <v>315</v>
      </c>
      <c r="Q63" s="157" t="s">
        <v>317</v>
      </c>
      <c r="T63">
        <f>T62*T61*T60</f>
        <v>120.00000000000001</v>
      </c>
    </row>
    <row r="64" spans="2:20" ht="27" hidden="1" customHeight="1" x14ac:dyDescent="0.2">
      <c r="P64" t="s">
        <v>316</v>
      </c>
      <c r="Q64" t="s">
        <v>318</v>
      </c>
      <c r="S64">
        <v>8</v>
      </c>
      <c r="T64">
        <f>T63/S64</f>
        <v>15.000000000000002</v>
      </c>
    </row>
    <row r="65" spans="2:27" ht="27" hidden="1" customHeight="1" thickBot="1" x14ac:dyDescent="0.25">
      <c r="Q65" t="s">
        <v>319</v>
      </c>
    </row>
    <row r="66" spans="2:27" ht="27" hidden="1" customHeight="1" thickTop="1" x14ac:dyDescent="0.2">
      <c r="Q66" t="s">
        <v>320</v>
      </c>
      <c r="S66" s="490" t="s">
        <v>266</v>
      </c>
      <c r="T66" s="491"/>
      <c r="U66" s="491"/>
      <c r="V66" s="491"/>
      <c r="W66" s="491"/>
      <c r="X66" s="491"/>
      <c r="Y66" s="491"/>
      <c r="Z66" s="491"/>
      <c r="AA66" s="492"/>
    </row>
    <row r="67" spans="2:27" ht="27" hidden="1" customHeight="1" x14ac:dyDescent="0.2">
      <c r="S67" s="493" t="s">
        <v>267</v>
      </c>
      <c r="T67" s="494"/>
      <c r="U67" s="494"/>
      <c r="V67" s="494"/>
      <c r="W67" s="494"/>
      <c r="X67" s="494"/>
      <c r="Y67" s="494"/>
      <c r="Z67" s="494"/>
      <c r="AA67" s="495"/>
    </row>
    <row r="68" spans="2:27" ht="27" hidden="1" customHeight="1" thickBot="1" x14ac:dyDescent="0.25">
      <c r="B68" t="s">
        <v>271</v>
      </c>
      <c r="P68" t="s">
        <v>311</v>
      </c>
      <c r="Q68" s="157" t="s">
        <v>312</v>
      </c>
      <c r="S68" s="479" t="s">
        <v>268</v>
      </c>
      <c r="T68" s="480"/>
      <c r="U68" s="480"/>
      <c r="V68" s="480"/>
      <c r="W68" s="480"/>
      <c r="X68" s="480"/>
      <c r="Y68" s="480"/>
      <c r="Z68" s="480"/>
      <c r="AA68" s="481"/>
    </row>
    <row r="69" spans="2:27" ht="27" hidden="1" customHeight="1" thickTop="1" x14ac:dyDescent="0.2">
      <c r="Q69" t="s">
        <v>313</v>
      </c>
    </row>
    <row r="70" spans="2:27" ht="27" hidden="1" customHeight="1" x14ac:dyDescent="0.2">
      <c r="Q70" t="s">
        <v>314</v>
      </c>
    </row>
    <row r="71" spans="2:27" ht="27" hidden="1" customHeight="1" x14ac:dyDescent="0.2"/>
    <row r="72" spans="2:27" ht="27" hidden="1" customHeight="1" x14ac:dyDescent="0.2">
      <c r="B72" t="s">
        <v>272</v>
      </c>
      <c r="P72" s="158" t="s">
        <v>321</v>
      </c>
      <c r="Q72" s="157" t="s">
        <v>325</v>
      </c>
    </row>
    <row r="73" spans="2:27" ht="27" hidden="1" customHeight="1" x14ac:dyDescent="0.2">
      <c r="P73" s="158" t="s">
        <v>322</v>
      </c>
      <c r="Q73" s="157" t="s">
        <v>326</v>
      </c>
    </row>
    <row r="74" spans="2:27" ht="27" hidden="1" customHeight="1" x14ac:dyDescent="0.2">
      <c r="Q74" t="s">
        <v>323</v>
      </c>
    </row>
    <row r="75" spans="2:27" ht="27" hidden="1" customHeight="1" x14ac:dyDescent="0.2">
      <c r="Q75" t="s">
        <v>324</v>
      </c>
    </row>
    <row r="76" spans="2:27" ht="27" hidden="1" customHeight="1" x14ac:dyDescent="0.2">
      <c r="Q76" t="s">
        <v>327</v>
      </c>
    </row>
    <row r="77" spans="2:27" ht="27" hidden="1" customHeight="1" x14ac:dyDescent="0.2"/>
    <row r="78" spans="2:27" ht="27" hidden="1" customHeight="1" x14ac:dyDescent="0.2">
      <c r="B78" t="s">
        <v>273</v>
      </c>
      <c r="P78" s="158" t="s">
        <v>306</v>
      </c>
      <c r="Q78" s="157" t="s">
        <v>307</v>
      </c>
    </row>
    <row r="79" spans="2:27" ht="27" hidden="1" customHeight="1" x14ac:dyDescent="0.2">
      <c r="Q79" t="s">
        <v>308</v>
      </c>
    </row>
    <row r="80" spans="2:27" ht="27" hidden="1" customHeight="1" x14ac:dyDescent="0.2">
      <c r="Q80" t="s">
        <v>309</v>
      </c>
    </row>
    <row r="81" spans="2:24" ht="27" hidden="1" customHeight="1" x14ac:dyDescent="0.2">
      <c r="Q81" t="s">
        <v>310</v>
      </c>
    </row>
    <row r="82" spans="2:24" ht="27" hidden="1" customHeight="1" x14ac:dyDescent="0.2"/>
    <row r="83" spans="2:24" ht="27" hidden="1" customHeight="1" x14ac:dyDescent="0.2"/>
    <row r="84" spans="2:24" ht="27" hidden="1" customHeight="1" x14ac:dyDescent="0.2">
      <c r="B84" t="s">
        <v>274</v>
      </c>
      <c r="P84" s="158" t="s">
        <v>328</v>
      </c>
      <c r="Q84" s="157" t="s">
        <v>334</v>
      </c>
      <c r="S84">
        <v>24</v>
      </c>
    </row>
    <row r="85" spans="2:24" ht="27" hidden="1" customHeight="1" x14ac:dyDescent="0.2">
      <c r="P85" s="158" t="s">
        <v>331</v>
      </c>
      <c r="Q85" t="s">
        <v>329</v>
      </c>
    </row>
    <row r="86" spans="2:24" ht="27" hidden="1" customHeight="1" x14ac:dyDescent="0.2">
      <c r="P86" s="158" t="s">
        <v>332</v>
      </c>
      <c r="Q86" t="s">
        <v>330</v>
      </c>
    </row>
    <row r="87" spans="2:24" ht="27" hidden="1" customHeight="1" x14ac:dyDescent="0.2">
      <c r="Q87" t="s">
        <v>333</v>
      </c>
    </row>
    <row r="88" spans="2:24" ht="27" hidden="1" customHeight="1" x14ac:dyDescent="0.2"/>
    <row r="89" spans="2:24" ht="27" hidden="1" customHeight="1" x14ac:dyDescent="0.2">
      <c r="B89" t="s">
        <v>275</v>
      </c>
      <c r="P89" s="158" t="s">
        <v>337</v>
      </c>
      <c r="Q89" s="157" t="s">
        <v>301</v>
      </c>
    </row>
    <row r="90" spans="2:24" ht="27" hidden="1" customHeight="1" x14ac:dyDescent="0.2">
      <c r="P90" s="158" t="s">
        <v>338</v>
      </c>
      <c r="Q90" s="157" t="s">
        <v>302</v>
      </c>
    </row>
    <row r="91" spans="2:24" ht="27" hidden="1" customHeight="1" x14ac:dyDescent="0.2">
      <c r="P91" s="158" t="s">
        <v>339</v>
      </c>
      <c r="Q91" s="157" t="s">
        <v>303</v>
      </c>
    </row>
    <row r="92" spans="2:24" ht="27" hidden="1" customHeight="1" x14ac:dyDescent="0.2">
      <c r="Q92" s="157" t="s">
        <v>304</v>
      </c>
    </row>
    <row r="93" spans="2:24" ht="27" hidden="1" customHeight="1" x14ac:dyDescent="0.2">
      <c r="Q93" t="s">
        <v>305</v>
      </c>
    </row>
    <row r="96" spans="2:24" hidden="1" x14ac:dyDescent="0.2">
      <c r="V96">
        <v>4</v>
      </c>
      <c r="W96">
        <v>7</v>
      </c>
      <c r="X96">
        <v>5</v>
      </c>
    </row>
    <row r="97" spans="22:25" hidden="1" x14ac:dyDescent="0.2">
      <c r="V97">
        <v>2</v>
      </c>
      <c r="W97">
        <v>10</v>
      </c>
    </row>
    <row r="98" spans="22:25" hidden="1" x14ac:dyDescent="0.2">
      <c r="V98">
        <v>1</v>
      </c>
      <c r="W98">
        <v>4</v>
      </c>
    </row>
    <row r="99" spans="22:25" hidden="1" x14ac:dyDescent="0.2">
      <c r="V99">
        <v>2</v>
      </c>
      <c r="W99">
        <v>4</v>
      </c>
    </row>
    <row r="100" spans="22:25" hidden="1" x14ac:dyDescent="0.2">
      <c r="V100">
        <v>1</v>
      </c>
      <c r="W100">
        <v>5</v>
      </c>
    </row>
    <row r="101" spans="22:25" hidden="1" x14ac:dyDescent="0.2">
      <c r="V101">
        <v>3</v>
      </c>
      <c r="W101">
        <v>4</v>
      </c>
    </row>
    <row r="102" spans="22:25" hidden="1" x14ac:dyDescent="0.2">
      <c r="V102">
        <v>3</v>
      </c>
      <c r="W102">
        <v>4</v>
      </c>
    </row>
    <row r="103" spans="22:25" hidden="1" x14ac:dyDescent="0.2">
      <c r="W103">
        <v>5</v>
      </c>
    </row>
    <row r="104" spans="22:25" hidden="1" x14ac:dyDescent="0.2">
      <c r="V104">
        <f>SUM(V96:V103)</f>
        <v>16</v>
      </c>
      <c r="W104">
        <f>SUM(W96:W103)</f>
        <v>43</v>
      </c>
      <c r="X104">
        <f>SUM(X96:X103)</f>
        <v>5</v>
      </c>
      <c r="Y104">
        <f>V104+W104+X104</f>
        <v>64</v>
      </c>
    </row>
  </sheetData>
  <mergeCells count="10">
    <mergeCell ref="S68:AA68"/>
    <mergeCell ref="K2:L2"/>
    <mergeCell ref="M2:N2"/>
    <mergeCell ref="B2:C3"/>
    <mergeCell ref="J2:J3"/>
    <mergeCell ref="S66:AA66"/>
    <mergeCell ref="S67:AA67"/>
    <mergeCell ref="I2:I3"/>
    <mergeCell ref="D2:E2"/>
    <mergeCell ref="F2:H2"/>
  </mergeCells>
  <hyperlinks>
    <hyperlink ref="S66" r:id="rId1" xr:uid="{5D5560FA-CF19-48BD-930A-4F3D537AFC69}"/>
    <hyperlink ref="S67" r:id="rId2" xr:uid="{586EC7D3-1E49-45FD-808A-9019EB5D2CFD}"/>
    <hyperlink ref="S68" r:id="rId3" xr:uid="{C032CF02-EE9C-4629-B7C0-9CA655B9BCA9}"/>
  </hyperlinks>
  <pageMargins left="0.39370078740157483" right="0" top="0.78740157480314965" bottom="0.78740157480314965" header="0.31496062992125984" footer="0.31496062992125984"/>
  <pageSetup paperSize="9" scale="90" orientation="landscape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F70D-3CAD-4B09-9729-5E5610C48B26}">
  <dimension ref="A1:IU55"/>
  <sheetViews>
    <sheetView tabSelected="1" view="pageBreakPreview" topLeftCell="A20" zoomScale="120" zoomScaleNormal="120" zoomScaleSheetLayoutView="120" workbookViewId="0">
      <selection activeCell="J40" sqref="J40"/>
    </sheetView>
  </sheetViews>
  <sheetFormatPr defaultColWidth="9.28515625" defaultRowHeight="12" x14ac:dyDescent="0.2"/>
  <cols>
    <col min="1" max="1" width="10.7109375" style="1" customWidth="1"/>
    <col min="2" max="2" width="8.85546875" style="1" customWidth="1"/>
    <col min="3" max="4" width="25.7109375" style="1" customWidth="1"/>
    <col min="5" max="5" width="12.42578125" style="1" customWidth="1"/>
    <col min="6" max="6" width="11.28515625" style="1" customWidth="1"/>
    <col min="7" max="7" width="9.7109375" style="1" customWidth="1"/>
    <col min="8" max="8" width="11.28515625" style="1" customWidth="1"/>
    <col min="9" max="9" width="16.7109375" style="2" customWidth="1"/>
    <col min="10" max="10" width="13.140625" style="1" bestFit="1" customWidth="1"/>
    <col min="11" max="11" width="11.28515625" style="1" customWidth="1"/>
    <col min="12" max="12" width="7.42578125" style="1" customWidth="1"/>
    <col min="13" max="13" width="6.5703125" style="1" customWidth="1"/>
    <col min="14" max="15" width="9.28515625" style="1" customWidth="1"/>
    <col min="16" max="16384" width="9.28515625" style="1"/>
  </cols>
  <sheetData>
    <row r="1" spans="1:13" x14ac:dyDescent="0.2">
      <c r="A1" s="109"/>
      <c r="B1" s="109"/>
      <c r="C1" s="109"/>
      <c r="D1" s="109"/>
      <c r="E1" s="109"/>
      <c r="F1" s="109"/>
      <c r="G1" s="109"/>
      <c r="H1" s="109"/>
      <c r="I1" s="112"/>
    </row>
    <row r="2" spans="1:13" ht="32.65" customHeight="1" x14ac:dyDescent="0.2">
      <c r="A2" s="408" t="s">
        <v>231</v>
      </c>
      <c r="B2" s="408"/>
      <c r="C2" s="408"/>
      <c r="D2" s="408"/>
      <c r="E2" s="408"/>
      <c r="F2" s="408"/>
      <c r="G2" s="408"/>
      <c r="H2" s="408"/>
      <c r="I2" s="408"/>
    </row>
    <row r="3" spans="1:13" ht="63" customHeight="1" x14ac:dyDescent="0.2">
      <c r="A3" s="409" t="s">
        <v>469</v>
      </c>
      <c r="B3" s="409"/>
      <c r="C3" s="409"/>
      <c r="D3" s="409"/>
      <c r="E3" s="409"/>
      <c r="F3" s="409"/>
      <c r="G3" s="409"/>
      <c r="H3" s="409"/>
      <c r="I3" s="409"/>
    </row>
    <row r="4" spans="1:13" ht="15.75" customHeight="1" x14ac:dyDescent="0.2">
      <c r="A4" s="329" t="s">
        <v>10</v>
      </c>
      <c r="B4" s="329"/>
      <c r="C4" s="329"/>
      <c r="D4" s="329"/>
      <c r="E4" s="329"/>
      <c r="F4" s="401"/>
      <c r="G4" s="401"/>
      <c r="H4" s="401"/>
      <c r="I4" s="401"/>
    </row>
    <row r="5" spans="1:13" ht="15.75" customHeight="1" x14ac:dyDescent="0.2">
      <c r="A5" s="329" t="s">
        <v>11</v>
      </c>
      <c r="B5" s="329"/>
      <c r="C5" s="329"/>
      <c r="D5" s="329"/>
      <c r="E5" s="329"/>
      <c r="F5" s="401"/>
      <c r="G5" s="401"/>
      <c r="H5" s="401"/>
      <c r="I5" s="401"/>
    </row>
    <row r="6" spans="1:13" ht="14.85" customHeight="1" x14ac:dyDescent="0.2">
      <c r="A6" s="358" t="s">
        <v>222</v>
      </c>
      <c r="B6" s="407"/>
      <c r="C6" s="407"/>
      <c r="D6" s="407"/>
      <c r="E6" s="407"/>
      <c r="F6" s="401"/>
      <c r="G6" s="401"/>
      <c r="H6" s="401"/>
      <c r="I6" s="401"/>
    </row>
    <row r="7" spans="1:13" ht="20.25" customHeight="1" x14ac:dyDescent="0.2">
      <c r="A7" s="307" t="s">
        <v>12</v>
      </c>
      <c r="B7" s="307"/>
      <c r="C7" s="307"/>
      <c r="D7" s="307"/>
      <c r="E7" s="307"/>
      <c r="F7" s="307"/>
      <c r="G7" s="307"/>
      <c r="H7" s="307"/>
      <c r="I7" s="307"/>
    </row>
    <row r="8" spans="1:13" ht="19.5" customHeight="1" x14ac:dyDescent="0.2">
      <c r="A8" s="3" t="s">
        <v>13</v>
      </c>
      <c r="B8" s="329" t="s">
        <v>14</v>
      </c>
      <c r="C8" s="329"/>
      <c r="D8" s="329"/>
      <c r="E8" s="329"/>
      <c r="F8" s="329"/>
      <c r="G8" s="329"/>
      <c r="H8" s="406"/>
      <c r="I8" s="406"/>
    </row>
    <row r="9" spans="1:13" ht="19.5" customHeight="1" x14ac:dyDescent="0.2">
      <c r="A9" s="3" t="s">
        <v>15</v>
      </c>
      <c r="B9" s="329" t="s">
        <v>16</v>
      </c>
      <c r="C9" s="329"/>
      <c r="D9" s="329"/>
      <c r="E9" s="329"/>
      <c r="F9" s="329"/>
      <c r="G9" s="329"/>
      <c r="H9" s="401" t="s">
        <v>223</v>
      </c>
      <c r="I9" s="401"/>
    </row>
    <row r="10" spans="1:13" ht="19.5" customHeight="1" x14ac:dyDescent="0.2">
      <c r="A10" s="3" t="s">
        <v>17</v>
      </c>
      <c r="B10" s="329" t="s">
        <v>18</v>
      </c>
      <c r="C10" s="329"/>
      <c r="D10" s="329"/>
      <c r="E10" s="329"/>
      <c r="F10" s="329"/>
      <c r="G10" s="329"/>
      <c r="H10" s="401" t="s">
        <v>445</v>
      </c>
      <c r="I10" s="401"/>
    </row>
    <row r="11" spans="1:13" ht="19.5" customHeight="1" x14ac:dyDescent="0.2">
      <c r="A11" s="3" t="s">
        <v>19</v>
      </c>
      <c r="B11" s="329" t="s">
        <v>218</v>
      </c>
      <c r="C11" s="329"/>
      <c r="D11" s="329"/>
      <c r="E11" s="329"/>
      <c r="F11" s="329"/>
      <c r="G11" s="329"/>
      <c r="H11" s="546">
        <v>60</v>
      </c>
      <c r="I11" s="546"/>
      <c r="K11" s="4"/>
    </row>
    <row r="12" spans="1:13" ht="21.4" customHeight="1" x14ac:dyDescent="0.2">
      <c r="A12" s="403" t="s">
        <v>20</v>
      </c>
      <c r="B12" s="403"/>
      <c r="C12" s="403"/>
      <c r="D12" s="403"/>
      <c r="E12" s="403"/>
      <c r="F12" s="403"/>
      <c r="G12" s="403"/>
      <c r="H12" s="403"/>
      <c r="I12" s="403"/>
    </row>
    <row r="13" spans="1:13" ht="36.75" customHeight="1" x14ac:dyDescent="0.2">
      <c r="A13" s="542" t="s">
        <v>133</v>
      </c>
      <c r="B13" s="542"/>
      <c r="C13" s="542"/>
      <c r="D13" s="542"/>
      <c r="E13" s="542"/>
      <c r="F13" s="542"/>
      <c r="G13" s="542"/>
      <c r="H13" s="542"/>
      <c r="I13" s="542"/>
    </row>
    <row r="14" spans="1:13" ht="7.5" customHeight="1" x14ac:dyDescent="0.2">
      <c r="A14" s="543"/>
      <c r="B14" s="543"/>
      <c r="C14" s="543"/>
      <c r="D14" s="543"/>
      <c r="E14" s="543"/>
      <c r="F14" s="543"/>
      <c r="G14" s="543"/>
      <c r="H14" s="543"/>
      <c r="I14" s="543"/>
    </row>
    <row r="15" spans="1:13" ht="15" hidden="1" customHeight="1" x14ac:dyDescent="0.2">
      <c r="A15" s="86"/>
      <c r="B15" s="86"/>
      <c r="C15" s="86"/>
      <c r="D15" s="86"/>
      <c r="E15" s="86"/>
      <c r="F15" s="86"/>
      <c r="G15" s="86"/>
      <c r="H15" s="87"/>
      <c r="I15" s="88"/>
      <c r="J15" s="81"/>
      <c r="K15" s="82"/>
      <c r="L15" s="83"/>
      <c r="M15" s="84"/>
    </row>
    <row r="16" spans="1:13" ht="31.5" customHeight="1" x14ac:dyDescent="0.2">
      <c r="A16" s="544" t="s">
        <v>134</v>
      </c>
      <c r="B16" s="544"/>
      <c r="C16" s="544"/>
      <c r="D16" s="544"/>
      <c r="E16" s="544"/>
      <c r="F16" s="544"/>
      <c r="G16" s="544"/>
      <c r="H16" s="544"/>
      <c r="I16" s="544"/>
    </row>
    <row r="17" spans="1:255" ht="45" customHeight="1" thickBot="1" x14ac:dyDescent="0.25">
      <c r="A17" s="545" t="s">
        <v>135</v>
      </c>
      <c r="B17" s="545"/>
      <c r="C17" s="545"/>
      <c r="D17" s="545"/>
      <c r="E17" s="545" t="s">
        <v>136</v>
      </c>
      <c r="F17" s="545"/>
      <c r="G17" s="272" t="s">
        <v>137</v>
      </c>
      <c r="H17" s="545" t="s">
        <v>138</v>
      </c>
      <c r="I17" s="545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</row>
    <row r="18" spans="1:255" ht="42.75" customHeight="1" thickTop="1" x14ac:dyDescent="0.2">
      <c r="A18" s="530" t="s">
        <v>463</v>
      </c>
      <c r="B18" s="274" t="s">
        <v>464</v>
      </c>
      <c r="C18" s="535" t="s">
        <v>140</v>
      </c>
      <c r="D18" s="536"/>
      <c r="E18" s="528">
        <f>'VIG 12x36 NOTURNO'!I183</f>
        <v>14359.939999999999</v>
      </c>
      <c r="F18" s="528"/>
      <c r="G18" s="273">
        <v>2</v>
      </c>
      <c r="H18" s="528">
        <f>E18*G18</f>
        <v>28719.879999999997</v>
      </c>
      <c r="I18" s="529"/>
      <c r="J18" s="271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</row>
    <row r="19" spans="1:255" ht="42.75" customHeight="1" x14ac:dyDescent="0.2">
      <c r="A19" s="531"/>
      <c r="B19" s="276" t="s">
        <v>465</v>
      </c>
      <c r="C19" s="537" t="s">
        <v>139</v>
      </c>
      <c r="D19" s="538"/>
      <c r="E19" s="526">
        <f>'VIG 12x36 DIURNO'!I181</f>
        <v>12966.04</v>
      </c>
      <c r="F19" s="526"/>
      <c r="G19" s="85">
        <v>1</v>
      </c>
      <c r="H19" s="526">
        <f>E19*G19</f>
        <v>12966.04</v>
      </c>
      <c r="I19" s="527"/>
      <c r="J19" s="271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</row>
    <row r="20" spans="1:255" ht="35.25" customHeight="1" thickBot="1" x14ac:dyDescent="0.25">
      <c r="A20" s="532"/>
      <c r="B20" s="275" t="s">
        <v>466</v>
      </c>
      <c r="C20" s="539" t="s">
        <v>432</v>
      </c>
      <c r="D20" s="540"/>
      <c r="E20" s="540"/>
      <c r="F20" s="540"/>
      <c r="G20" s="541"/>
      <c r="H20" s="533">
        <f>'VIGILÂNCIA ELETRÔNICA'!G114</f>
        <v>10968.76</v>
      </c>
      <c r="I20" s="534"/>
      <c r="J20" s="271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</row>
    <row r="21" spans="1:255" ht="12.75" thickTop="1" x14ac:dyDescent="0.2"/>
    <row r="22" spans="1:255" ht="20.25" customHeight="1" x14ac:dyDescent="0.2">
      <c r="A22" s="518" t="s">
        <v>141</v>
      </c>
      <c r="B22" s="519"/>
      <c r="C22" s="519"/>
      <c r="D22" s="519"/>
      <c r="E22" s="519"/>
      <c r="F22" s="519"/>
      <c r="G22" s="520"/>
      <c r="H22" s="516">
        <f>H19+H18+H20</f>
        <v>52654.68</v>
      </c>
      <c r="I22" s="516"/>
      <c r="J22"/>
      <c r="K22" s="261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</row>
    <row r="23" spans="1:255" ht="6.75" customHeight="1" x14ac:dyDescent="0.2">
      <c r="A23" s="517"/>
      <c r="B23" s="517"/>
      <c r="C23" s="517"/>
      <c r="D23" s="517"/>
      <c r="E23" s="517"/>
      <c r="F23" s="517"/>
      <c r="G23" s="517"/>
      <c r="H23" s="517"/>
      <c r="I23" s="517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</row>
    <row r="24" spans="1:255" ht="17.25" customHeight="1" x14ac:dyDescent="0.2">
      <c r="A24" s="418" t="s">
        <v>142</v>
      </c>
      <c r="B24" s="418"/>
      <c r="C24" s="418"/>
      <c r="D24" s="418"/>
      <c r="E24" s="418"/>
      <c r="F24" s="418"/>
      <c r="G24" s="418"/>
      <c r="H24" s="418"/>
      <c r="I24" s="418"/>
      <c r="J24"/>
      <c r="K24" s="261"/>
      <c r="L24" s="262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</row>
    <row r="25" spans="1:255" ht="6.75" customHeight="1" x14ac:dyDescent="0.2">
      <c r="A25" s="298"/>
      <c r="B25" s="298"/>
      <c r="C25" s="298"/>
      <c r="D25" s="298"/>
      <c r="E25" s="298"/>
      <c r="F25" s="298"/>
      <c r="G25" s="298"/>
      <c r="H25" s="298"/>
      <c r="I25" s="298"/>
    </row>
    <row r="26" spans="1:255" ht="18.75" customHeight="1" x14ac:dyDescent="0.2">
      <c r="A26" s="523" t="s">
        <v>143</v>
      </c>
      <c r="B26" s="524"/>
      <c r="C26" s="524"/>
      <c r="D26" s="524"/>
      <c r="E26" s="524"/>
      <c r="F26" s="524"/>
      <c r="G26" s="525"/>
      <c r="H26" s="521">
        <f>$H$22</f>
        <v>52654.68</v>
      </c>
      <c r="I26" s="522"/>
      <c r="K26" s="155"/>
    </row>
    <row r="27" spans="1:255" ht="8.25" customHeight="1" x14ac:dyDescent="0.25">
      <c r="A27" s="290"/>
      <c r="B27" s="290"/>
      <c r="C27" s="290"/>
      <c r="D27" s="290"/>
      <c r="E27" s="290"/>
      <c r="F27" s="290"/>
      <c r="G27" s="290"/>
      <c r="H27" s="290"/>
      <c r="I27" s="290"/>
    </row>
    <row r="28" spans="1:255" ht="19.5" customHeight="1" x14ac:dyDescent="0.2">
      <c r="A28" s="513" t="s">
        <v>144</v>
      </c>
      <c r="B28" s="514"/>
      <c r="C28" s="514"/>
      <c r="D28" s="514"/>
      <c r="E28" s="514"/>
      <c r="F28" s="514"/>
      <c r="G28" s="515"/>
      <c r="H28" s="509">
        <f>$H$11</f>
        <v>60</v>
      </c>
      <c r="I28" s="510"/>
      <c r="K28" s="270"/>
    </row>
    <row r="29" spans="1:255" ht="8.25" customHeight="1" x14ac:dyDescent="0.2">
      <c r="A29" s="293"/>
      <c r="B29" s="293"/>
      <c r="C29" s="293"/>
      <c r="D29" s="293"/>
      <c r="E29" s="293"/>
      <c r="F29" s="293"/>
      <c r="G29" s="293"/>
      <c r="H29" s="293"/>
      <c r="I29" s="293"/>
    </row>
    <row r="30" spans="1:255" ht="31.5" customHeight="1" x14ac:dyDescent="0.2">
      <c r="A30" s="513" t="s">
        <v>145</v>
      </c>
      <c r="B30" s="514"/>
      <c r="C30" s="514"/>
      <c r="D30" s="514"/>
      <c r="E30" s="514"/>
      <c r="F30" s="514"/>
      <c r="G30" s="515"/>
      <c r="H30" s="511">
        <f>ROUND(H26*H28,2)</f>
        <v>3159280.8</v>
      </c>
      <c r="I30" s="512"/>
    </row>
    <row r="31" spans="1:255" ht="8.25" customHeight="1" x14ac:dyDescent="0.2">
      <c r="A31" s="287"/>
      <c r="B31" s="287"/>
      <c r="C31" s="287"/>
      <c r="D31" s="287"/>
      <c r="E31" s="287"/>
      <c r="F31" s="287"/>
      <c r="G31" s="287"/>
      <c r="H31" s="287"/>
      <c r="I31" s="287"/>
    </row>
    <row r="32" spans="1:255" ht="29.25" customHeight="1" x14ac:dyDescent="0.2">
      <c r="A32" s="507" t="s">
        <v>228</v>
      </c>
      <c r="B32" s="507"/>
      <c r="C32" s="507"/>
      <c r="D32" s="507"/>
      <c r="E32" s="507"/>
      <c r="F32" s="507"/>
      <c r="G32" s="507"/>
      <c r="H32" s="507"/>
      <c r="I32" s="507"/>
    </row>
    <row r="33" spans="1:9" ht="12" customHeight="1" x14ac:dyDescent="0.2">
      <c r="A33" s="289" t="s">
        <v>146</v>
      </c>
      <c r="B33" s="289"/>
      <c r="C33" s="289"/>
      <c r="D33" s="281" t="s">
        <v>147</v>
      </c>
      <c r="E33" s="281"/>
      <c r="F33" s="281"/>
      <c r="G33" s="281"/>
      <c r="H33" s="281"/>
      <c r="I33" s="281"/>
    </row>
    <row r="34" spans="1:9" x14ac:dyDescent="0.2">
      <c r="A34" s="289"/>
      <c r="B34" s="289"/>
      <c r="C34" s="289"/>
      <c r="D34" s="281"/>
      <c r="E34" s="281"/>
      <c r="F34" s="281"/>
      <c r="G34" s="281"/>
      <c r="H34" s="281"/>
      <c r="I34" s="281"/>
    </row>
    <row r="35" spans="1:9" ht="12.75" customHeight="1" x14ac:dyDescent="0.2">
      <c r="A35" s="508" t="s">
        <v>230</v>
      </c>
      <c r="B35" s="508"/>
      <c r="C35" s="508"/>
      <c r="D35" s="420">
        <v>4</v>
      </c>
      <c r="E35" s="420"/>
      <c r="F35" s="420"/>
      <c r="G35" s="420"/>
      <c r="H35" s="420"/>
      <c r="I35" s="420"/>
    </row>
    <row r="36" spans="1:9" ht="14.65" customHeight="1" x14ac:dyDescent="0.2">
      <c r="A36" s="508" t="s">
        <v>229</v>
      </c>
      <c r="B36" s="508"/>
      <c r="C36" s="508"/>
      <c r="D36" s="420">
        <v>2</v>
      </c>
      <c r="E36" s="420"/>
      <c r="F36" s="420"/>
      <c r="G36" s="420"/>
      <c r="H36" s="420"/>
      <c r="I36" s="420"/>
    </row>
    <row r="37" spans="1:9" ht="12.75" customHeight="1" x14ac:dyDescent="0.2">
      <c r="A37" s="504" t="s">
        <v>89</v>
      </c>
      <c r="B37" s="505"/>
      <c r="C37" s="505"/>
      <c r="D37" s="504">
        <f>SUM(D35:I36)</f>
        <v>6</v>
      </c>
      <c r="E37" s="505"/>
      <c r="F37" s="505"/>
      <c r="G37" s="505"/>
      <c r="H37" s="505"/>
      <c r="I37" s="506"/>
    </row>
    <row r="38" spans="1:9" ht="8.25" customHeight="1" x14ac:dyDescent="0.2">
      <c r="A38" s="287"/>
      <c r="B38" s="287"/>
      <c r="C38" s="287"/>
      <c r="D38" s="287"/>
      <c r="E38" s="287"/>
      <c r="F38" s="287"/>
      <c r="G38" s="287"/>
      <c r="H38" s="287"/>
      <c r="I38" s="287"/>
    </row>
    <row r="39" spans="1:9" x14ac:dyDescent="0.2">
      <c r="A39" s="109"/>
      <c r="B39" s="109"/>
      <c r="C39" s="109"/>
      <c r="D39" s="109"/>
      <c r="E39" s="109"/>
      <c r="F39" s="109"/>
      <c r="G39" s="109"/>
      <c r="H39" s="109"/>
      <c r="I39" s="112"/>
    </row>
    <row r="40" spans="1:9" ht="15" customHeight="1" x14ac:dyDescent="0.2">
      <c r="A40" s="255" t="s">
        <v>398</v>
      </c>
      <c r="B40" s="255"/>
      <c r="C40" s="255"/>
      <c r="D40" s="255"/>
      <c r="E40" s="255"/>
      <c r="F40" s="255"/>
      <c r="G40" s="255"/>
      <c r="H40" s="255"/>
      <c r="I40" s="256"/>
    </row>
    <row r="41" spans="1:9" ht="15" customHeight="1" x14ac:dyDescent="0.2">
      <c r="A41" s="257" t="s">
        <v>399</v>
      </c>
      <c r="B41" s="257"/>
      <c r="C41" s="257"/>
      <c r="D41" s="257"/>
      <c r="E41" s="257"/>
      <c r="F41" s="257"/>
      <c r="G41" s="257"/>
      <c r="H41" s="257"/>
      <c r="I41" s="258"/>
    </row>
    <row r="42" spans="1:9" ht="15" customHeight="1" x14ac:dyDescent="0.2">
      <c r="A42" s="257" t="s">
        <v>400</v>
      </c>
      <c r="B42" s="257"/>
      <c r="C42" s="257"/>
      <c r="D42" s="257"/>
      <c r="E42" s="257"/>
      <c r="F42" s="257"/>
      <c r="G42" s="257"/>
      <c r="H42" s="257"/>
      <c r="I42" s="258"/>
    </row>
    <row r="43" spans="1:9" ht="15" customHeight="1" x14ac:dyDescent="0.2">
      <c r="A43" s="257" t="s">
        <v>401</v>
      </c>
      <c r="B43" s="257"/>
      <c r="C43" s="257"/>
      <c r="D43" s="257"/>
      <c r="E43" s="257"/>
      <c r="F43" s="257"/>
      <c r="G43" s="257"/>
      <c r="H43" s="257"/>
      <c r="I43" s="258"/>
    </row>
    <row r="44" spans="1:9" ht="15" customHeight="1" x14ac:dyDescent="0.2">
      <c r="A44" s="257" t="s">
        <v>402</v>
      </c>
      <c r="B44" s="257"/>
      <c r="C44" s="257"/>
      <c r="D44" s="257"/>
      <c r="E44" s="257"/>
      <c r="F44" s="257"/>
      <c r="G44" s="257"/>
      <c r="H44" s="257"/>
      <c r="I44" s="258"/>
    </row>
    <row r="45" spans="1:9" ht="15" customHeight="1" x14ac:dyDescent="0.2">
      <c r="A45" s="257" t="s">
        <v>403</v>
      </c>
      <c r="B45" s="257"/>
      <c r="C45" s="257"/>
      <c r="D45" s="257"/>
      <c r="E45" s="257"/>
      <c r="F45" s="257"/>
      <c r="G45" s="257"/>
      <c r="H45" s="257"/>
      <c r="I45" s="258"/>
    </row>
    <row r="46" spans="1:9" ht="15" customHeight="1" x14ac:dyDescent="0.2">
      <c r="A46" s="257" t="s">
        <v>404</v>
      </c>
      <c r="B46" s="257"/>
      <c r="C46" s="257"/>
      <c r="D46" s="257"/>
      <c r="E46" s="257"/>
      <c r="F46" s="257"/>
      <c r="G46" s="257"/>
      <c r="H46" s="257"/>
      <c r="I46" s="258"/>
    </row>
    <row r="47" spans="1:9" ht="15" customHeight="1" x14ac:dyDescent="0.2">
      <c r="A47" s="501" t="s">
        <v>405</v>
      </c>
      <c r="B47" s="501"/>
      <c r="C47" s="501"/>
      <c r="D47" s="501"/>
      <c r="E47" s="501"/>
      <c r="F47" s="501"/>
      <c r="G47" s="501"/>
      <c r="H47" s="501"/>
      <c r="I47" s="501"/>
    </row>
    <row r="48" spans="1:9" ht="15" customHeight="1" x14ac:dyDescent="0.2">
      <c r="A48" s="501"/>
      <c r="B48" s="501"/>
      <c r="C48" s="501"/>
      <c r="D48" s="501"/>
      <c r="E48" s="501"/>
      <c r="F48" s="501"/>
      <c r="G48" s="501"/>
      <c r="H48" s="501"/>
      <c r="I48" s="501"/>
    </row>
    <row r="49" spans="1:9" ht="15" customHeight="1" x14ac:dyDescent="0.2">
      <c r="A49" s="501"/>
      <c r="B49" s="501"/>
      <c r="C49" s="501"/>
      <c r="D49" s="501"/>
      <c r="E49" s="501"/>
      <c r="F49" s="501"/>
      <c r="G49" s="501"/>
      <c r="H49" s="501"/>
      <c r="I49" s="501"/>
    </row>
    <row r="50" spans="1:9" ht="15" customHeight="1" x14ac:dyDescent="0.2">
      <c r="A50" s="502" t="s">
        <v>437</v>
      </c>
      <c r="B50" s="502"/>
      <c r="C50" s="502"/>
      <c r="D50" s="502"/>
      <c r="E50" s="502"/>
      <c r="F50" s="502"/>
      <c r="G50" s="502"/>
      <c r="H50" s="502"/>
      <c r="I50" s="502"/>
    </row>
    <row r="51" spans="1:9" ht="15" customHeight="1" x14ac:dyDescent="0.2">
      <c r="A51" s="254"/>
      <c r="B51" s="254"/>
      <c r="C51" s="254"/>
      <c r="D51" s="254"/>
      <c r="E51" s="254"/>
      <c r="F51" s="254"/>
      <c r="G51" s="254"/>
      <c r="H51" s="254"/>
      <c r="I51" s="254"/>
    </row>
    <row r="52" spans="1:9" ht="15" customHeight="1" x14ac:dyDescent="0.2">
      <c r="A52" s="253"/>
      <c r="B52" s="253"/>
      <c r="C52" s="253"/>
      <c r="D52" s="253"/>
      <c r="E52" s="253"/>
      <c r="F52" s="253"/>
      <c r="G52" s="109"/>
      <c r="H52" s="109"/>
      <c r="I52" s="112"/>
    </row>
    <row r="53" spans="1:9" ht="15" customHeight="1" x14ac:dyDescent="0.2">
      <c r="A53" s="253"/>
      <c r="B53" s="253"/>
      <c r="C53" s="259"/>
      <c r="D53" s="259"/>
      <c r="E53" s="259"/>
      <c r="F53" s="259"/>
      <c r="G53" s="260"/>
      <c r="H53" s="109"/>
      <c r="I53" s="112"/>
    </row>
    <row r="54" spans="1:9" ht="15" customHeight="1" x14ac:dyDescent="0.2">
      <c r="A54" s="111"/>
      <c r="B54" s="111"/>
      <c r="C54" s="503" t="s">
        <v>406</v>
      </c>
      <c r="D54" s="503"/>
      <c r="E54" s="503"/>
      <c r="F54" s="503"/>
      <c r="G54" s="503"/>
      <c r="H54" s="109"/>
      <c r="I54" s="112"/>
    </row>
    <row r="55" spans="1:9" x14ac:dyDescent="0.2">
      <c r="A55" s="109"/>
      <c r="B55" s="109"/>
      <c r="C55" s="109"/>
      <c r="D55" s="109"/>
      <c r="E55" s="109"/>
      <c r="F55" s="109"/>
      <c r="G55" s="109"/>
      <c r="H55" s="109"/>
      <c r="I55" s="112"/>
    </row>
  </sheetData>
  <mergeCells count="60">
    <mergeCell ref="A6:E6"/>
    <mergeCell ref="A2:I2"/>
    <mergeCell ref="A3:I3"/>
    <mergeCell ref="A4:E4"/>
    <mergeCell ref="F4:I4"/>
    <mergeCell ref="A5:E5"/>
    <mergeCell ref="F5:I5"/>
    <mergeCell ref="F6:I6"/>
    <mergeCell ref="A7:I7"/>
    <mergeCell ref="B8:G8"/>
    <mergeCell ref="H8:I8"/>
    <mergeCell ref="B9:G9"/>
    <mergeCell ref="H9:I9"/>
    <mergeCell ref="B10:G10"/>
    <mergeCell ref="H10:I10"/>
    <mergeCell ref="B11:G11"/>
    <mergeCell ref="H11:I11"/>
    <mergeCell ref="A12:I12"/>
    <mergeCell ref="A13:I13"/>
    <mergeCell ref="A14:I14"/>
    <mergeCell ref="A16:I16"/>
    <mergeCell ref="A17:D17"/>
    <mergeCell ref="E17:F17"/>
    <mergeCell ref="H17:I17"/>
    <mergeCell ref="H26:I26"/>
    <mergeCell ref="A26:G26"/>
    <mergeCell ref="H19:I19"/>
    <mergeCell ref="E18:F18"/>
    <mergeCell ref="H18:I18"/>
    <mergeCell ref="A18:A20"/>
    <mergeCell ref="H20:I20"/>
    <mergeCell ref="C18:D18"/>
    <mergeCell ref="C19:D19"/>
    <mergeCell ref="C20:G20"/>
    <mergeCell ref="E19:F19"/>
    <mergeCell ref="H22:I22"/>
    <mergeCell ref="A23:I23"/>
    <mergeCell ref="A24:I24"/>
    <mergeCell ref="A25:I25"/>
    <mergeCell ref="A22:G22"/>
    <mergeCell ref="A27:I27"/>
    <mergeCell ref="A29:I29"/>
    <mergeCell ref="H28:I28"/>
    <mergeCell ref="H30:I30"/>
    <mergeCell ref="A28:G28"/>
    <mergeCell ref="A30:G30"/>
    <mergeCell ref="A31:I31"/>
    <mergeCell ref="A32:I32"/>
    <mergeCell ref="A33:C34"/>
    <mergeCell ref="D33:I34"/>
    <mergeCell ref="A36:C36"/>
    <mergeCell ref="D36:I36"/>
    <mergeCell ref="A35:C35"/>
    <mergeCell ref="D35:I35"/>
    <mergeCell ref="A47:I49"/>
    <mergeCell ref="A50:I50"/>
    <mergeCell ref="C54:G54"/>
    <mergeCell ref="A37:C37"/>
    <mergeCell ref="D37:I37"/>
    <mergeCell ref="A38:I38"/>
  </mergeCells>
  <pageMargins left="0.78740157480314965" right="0.39370078740157483" top="0.39370078740157483" bottom="0.39370078740157483" header="0.31496062992125984" footer="0.31496062992125984"/>
  <pageSetup paperSize="9" scale="65" orientation="portrait" horizontalDpi="300" verticalDpi="300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VIG 12x36 NOTURNO</vt:lpstr>
      <vt:lpstr>VIG 12x36 DIURNO</vt:lpstr>
      <vt:lpstr>VIGILÂNCIA ELETRÔNICA</vt:lpstr>
      <vt:lpstr>INSUMOS DOS POSTOS</vt:lpstr>
      <vt:lpstr>Local Câmeras PDF</vt:lpstr>
      <vt:lpstr>Identificação Câmeras</vt:lpstr>
      <vt:lpstr>RESUMO</vt:lpstr>
      <vt:lpstr>RESUMO!Area_de_impressao</vt:lpstr>
      <vt:lpstr>'VIG 12x36 DIURNO'!Area_de_impressao</vt:lpstr>
      <vt:lpstr>'VIG 12x36 NOTURNO'!Area_de_impressao</vt:lpstr>
      <vt:lpstr>'VIGILÂNCIA ELETRÔNICA'!Area_de_impressao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Hélio Justo</dc:creator>
  <cp:lastModifiedBy>Gislaine Caimi Guedes</cp:lastModifiedBy>
  <cp:lastPrinted>2025-02-05T18:02:26Z</cp:lastPrinted>
  <dcterms:created xsi:type="dcterms:W3CDTF">2022-04-26T00:10:00Z</dcterms:created>
  <dcterms:modified xsi:type="dcterms:W3CDTF">2025-02-10T12:52:25Z</dcterms:modified>
</cp:coreProperties>
</file>