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\\capataz.passofundo.ifsul.local\Setores\DEAP\COLIC\Geral COCAP\PROCESSOS 2025\PR 90022 2025 - Pregão Vigilância\"/>
    </mc:Choice>
  </mc:AlternateContent>
  <xr:revisionPtr revIDLastSave="0" documentId="8_{B9355922-6360-4312-B65D-8B76922FCF1D}" xr6:coauthVersionLast="45" xr6:coauthVersionMax="45" xr10:uidLastSave="{00000000-0000-0000-0000-000000000000}"/>
  <bookViews>
    <workbookView xWindow="-120" yWindow="-120" windowWidth="20730" windowHeight="11160" tabRatio="907" activeTab="3" xr2:uid="{151B6CA3-E293-4008-9F17-530E83ED3FEE}"/>
  </bookViews>
  <sheets>
    <sheet name="ASP 44H - NOTURNO (44H)" sheetId="22" r:id="rId1"/>
    <sheet name="ASP 44H - DIURNO (44H)" sheetId="25" r:id="rId2"/>
    <sheet name="INSUMOS DOS POSTOS" sheetId="29" r:id="rId3"/>
    <sheet name="RESUMO" sheetId="26" r:id="rId4"/>
  </sheets>
  <definedNames>
    <definedName name="_xlnm.Print_Area" localSheetId="1">'ASP 44H - DIURNO (44H)'!$A$1:$I$199</definedName>
    <definedName name="_xlnm.Print_Area" localSheetId="0">'ASP 44H - NOTURNO (44H)'!$A$1:$I$199</definedName>
    <definedName name="_xlnm.Print_Area" localSheetId="3">RESUMO!$A$1:$I$54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7" i="29" l="1"/>
  <c r="F26" i="29"/>
  <c r="F25" i="29"/>
  <c r="F24" i="29"/>
  <c r="F23" i="29"/>
  <c r="F22" i="29"/>
  <c r="F21" i="29"/>
  <c r="F20" i="29"/>
  <c r="F19" i="29"/>
  <c r="F18" i="29"/>
  <c r="G18" i="29"/>
  <c r="I18" i="29"/>
  <c r="I28" i="29"/>
  <c r="I21" i="29"/>
  <c r="I20" i="29"/>
  <c r="I19" i="29"/>
  <c r="D36" i="26"/>
  <c r="G12" i="29"/>
  <c r="I12" i="29"/>
  <c r="I14" i="29"/>
  <c r="C49" i="29"/>
  <c r="C48" i="29"/>
  <c r="C47" i="29"/>
  <c r="G6" i="29"/>
  <c r="I6" i="29"/>
  <c r="I8" i="29"/>
  <c r="C46" i="29"/>
  <c r="G36" i="29"/>
  <c r="I36" i="29"/>
  <c r="I26" i="29"/>
  <c r="I24" i="29"/>
  <c r="I23" i="29"/>
  <c r="I25" i="29"/>
  <c r="I22" i="29"/>
  <c r="I37" i="25"/>
  <c r="I74" i="25"/>
  <c r="I37" i="22"/>
  <c r="I74" i="22"/>
  <c r="H27" i="26"/>
  <c r="G184" i="25"/>
  <c r="H163" i="25"/>
  <c r="I131" i="25"/>
  <c r="I79" i="25"/>
  <c r="H62" i="25"/>
  <c r="H68" i="25"/>
  <c r="H28" i="25"/>
  <c r="H30" i="25"/>
  <c r="I38" i="25"/>
  <c r="H16" i="25"/>
  <c r="G184" i="22"/>
  <c r="H163" i="22"/>
  <c r="I131" i="22"/>
  <c r="I79" i="22"/>
  <c r="H62" i="22"/>
  <c r="H68" i="22"/>
  <c r="H28" i="22"/>
  <c r="H30" i="22"/>
  <c r="I38" i="22"/>
  <c r="H29" i="22"/>
  <c r="I39" i="22"/>
  <c r="H16" i="22"/>
  <c r="I44" i="25"/>
  <c r="I44" i="22"/>
  <c r="I86" i="25"/>
  <c r="I85" i="25"/>
  <c r="I85" i="22"/>
  <c r="I86" i="22"/>
  <c r="I38" i="29"/>
  <c r="I39" i="29"/>
  <c r="I15" i="29"/>
  <c r="D47" i="29"/>
  <c r="F47" i="29"/>
  <c r="I47" i="29"/>
  <c r="J47" i="29"/>
  <c r="I9" i="29"/>
  <c r="D46" i="29"/>
  <c r="I29" i="29"/>
  <c r="D48" i="29"/>
  <c r="F48" i="29"/>
  <c r="I48" i="29"/>
  <c r="J48" i="29"/>
  <c r="I40" i="25"/>
  <c r="H115" i="22"/>
  <c r="I40" i="22"/>
  <c r="I41" i="22"/>
  <c r="H115" i="25"/>
  <c r="H29" i="25"/>
  <c r="I39" i="25"/>
  <c r="I41" i="25"/>
  <c r="D49" i="29"/>
  <c r="F49" i="29"/>
  <c r="I49" i="29"/>
  <c r="I50" i="29"/>
  <c r="I84" i="25"/>
  <c r="I87" i="25"/>
  <c r="I95" i="25"/>
  <c r="I115" i="25"/>
  <c r="I53" i="25"/>
  <c r="I100" i="25"/>
  <c r="I46" i="25"/>
  <c r="I104" i="25"/>
  <c r="I102" i="25"/>
  <c r="I103" i="25"/>
  <c r="I54" i="25"/>
  <c r="B111" i="25"/>
  <c r="B111" i="22"/>
  <c r="I53" i="22"/>
  <c r="I46" i="22"/>
  <c r="I115" i="22"/>
  <c r="I104" i="22"/>
  <c r="I54" i="22"/>
  <c r="I84" i="22"/>
  <c r="I87" i="22"/>
  <c r="I95" i="22"/>
  <c r="I102" i="22"/>
  <c r="I103" i="22"/>
  <c r="E46" i="29"/>
  <c r="F46" i="29"/>
  <c r="I46" i="29"/>
  <c r="J46" i="29"/>
  <c r="I137" i="22"/>
  <c r="I137" i="25"/>
  <c r="I138" i="25"/>
  <c r="I138" i="22"/>
  <c r="J49" i="29"/>
  <c r="D50" i="29"/>
  <c r="I101" i="25"/>
  <c r="I105" i="25"/>
  <c r="I172" i="25"/>
  <c r="I139" i="22"/>
  <c r="I139" i="25"/>
  <c r="J50" i="29"/>
  <c r="I55" i="25"/>
  <c r="I55" i="22"/>
  <c r="I172" i="22"/>
  <c r="I136" i="22"/>
  <c r="I136" i="25"/>
  <c r="I100" i="22"/>
  <c r="I141" i="25"/>
  <c r="I176" i="25"/>
  <c r="I174" i="25"/>
  <c r="H111" i="25"/>
  <c r="I119" i="25"/>
  <c r="I101" i="22"/>
  <c r="I105" i="22"/>
  <c r="I93" i="22"/>
  <c r="I65" i="22"/>
  <c r="I60" i="22"/>
  <c r="I66" i="22"/>
  <c r="I64" i="22"/>
  <c r="I62" i="22"/>
  <c r="I67" i="22"/>
  <c r="I63" i="22"/>
  <c r="I61" i="22"/>
  <c r="I93" i="25"/>
  <c r="I62" i="25"/>
  <c r="I60" i="25"/>
  <c r="I67" i="25"/>
  <c r="I66" i="25"/>
  <c r="I64" i="25"/>
  <c r="I65" i="25"/>
  <c r="I61" i="25"/>
  <c r="I63" i="25"/>
  <c r="I141" i="22"/>
  <c r="I176" i="22"/>
  <c r="H111" i="22"/>
  <c r="I174" i="22"/>
  <c r="I119" i="22"/>
  <c r="I68" i="25"/>
  <c r="I94" i="25"/>
  <c r="I96" i="25"/>
  <c r="I68" i="22"/>
  <c r="I94" i="22"/>
  <c r="I96" i="22"/>
  <c r="I173" i="22"/>
  <c r="E111" i="22"/>
  <c r="I111" i="22"/>
  <c r="I173" i="25"/>
  <c r="E111" i="25"/>
  <c r="I111" i="25"/>
  <c r="I120" i="25"/>
  <c r="I118" i="25"/>
  <c r="I116" i="25"/>
  <c r="I117" i="25"/>
  <c r="J111" i="25"/>
  <c r="I118" i="22"/>
  <c r="I117" i="22"/>
  <c r="I120" i="22"/>
  <c r="I116" i="22"/>
  <c r="I121" i="22"/>
  <c r="I130" i="22"/>
  <c r="I132" i="22"/>
  <c r="I175" i="22"/>
  <c r="I177" i="22"/>
  <c r="I147" i="22"/>
  <c r="I121" i="25"/>
  <c r="I130" i="25"/>
  <c r="I132" i="25"/>
  <c r="I175" i="25"/>
  <c r="I177" i="25"/>
  <c r="I147" i="25"/>
  <c r="I148" i="22"/>
  <c r="I149" i="22"/>
  <c r="I150" i="22"/>
  <c r="I151" i="22"/>
  <c r="I148" i="25"/>
  <c r="I154" i="22"/>
  <c r="I160" i="22"/>
  <c r="I155" i="22"/>
  <c r="I149" i="25"/>
  <c r="I150" i="25"/>
  <c r="I151" i="25"/>
  <c r="I154" i="25"/>
  <c r="I155" i="25"/>
  <c r="I160" i="25"/>
  <c r="I163" i="22"/>
  <c r="I161" i="22"/>
  <c r="I178" i="22"/>
  <c r="I179" i="22"/>
  <c r="I161" i="25"/>
  <c r="I178" i="25"/>
  <c r="I179" i="25"/>
  <c r="G182" i="25"/>
  <c r="G186" i="25"/>
  <c r="E19" i="26"/>
  <c r="H19" i="26"/>
  <c r="E18" i="26"/>
  <c r="H18" i="26"/>
  <c r="G182" i="22"/>
  <c r="G186" i="22"/>
  <c r="I163" i="25"/>
  <c r="H21" i="26"/>
  <c r="H25" i="26"/>
  <c r="H29" i="26"/>
</calcChain>
</file>

<file path=xl/sharedStrings.xml><?xml version="1.0" encoding="utf-8"?>
<sst xmlns="http://schemas.openxmlformats.org/spreadsheetml/2006/main" count="665" uniqueCount="259">
  <si>
    <r>
      <rPr>
        <b/>
        <sz val="10"/>
        <rFont val="Arial"/>
        <family val="2"/>
      </rPr>
      <t xml:space="preserve"> c) IRPJ</t>
    </r>
    <r>
      <rPr>
        <b/>
        <sz val="10"/>
        <color indexed="12"/>
        <rFont val="Arial"/>
        <family val="2"/>
      </rPr>
      <t xml:space="preserve"> </t>
    </r>
    <r>
      <rPr>
        <b/>
        <sz val="10"/>
        <color indexed="39"/>
        <rFont val="Arial"/>
        <family val="2"/>
      </rPr>
      <t>-</t>
    </r>
    <r>
      <rPr>
        <b/>
        <sz val="9"/>
        <color indexed="39"/>
        <rFont val="Arial"/>
        <family val="2"/>
      </rPr>
      <t xml:space="preserve">  Em face dos Acórdãos TCU nºs 950/2007-P e 205/2018-P, o licitante não pode cotar expressamente este tributo.</t>
    </r>
  </si>
  <si>
    <r>
      <rPr>
        <b/>
        <sz val="10"/>
        <rFont val="Arial"/>
        <family val="2"/>
      </rPr>
      <t xml:space="preserve"> d) CSLL </t>
    </r>
    <r>
      <rPr>
        <b/>
        <sz val="10"/>
        <color indexed="39"/>
        <rFont val="Arial"/>
        <family val="2"/>
      </rPr>
      <t xml:space="preserve">- </t>
    </r>
    <r>
      <rPr>
        <b/>
        <sz val="9"/>
        <color indexed="39"/>
        <rFont val="Arial"/>
        <family val="2"/>
      </rPr>
      <t xml:space="preserve"> Em face dos Acórdãos TCU nºs 950/2007-P e 205/2018-P, o licitante não pode cotar expressamente este tributo.</t>
    </r>
  </si>
  <si>
    <t xml:space="preserve">Remuneração 1 = Total da Remuneração de verbas de natureza salarial nas quais incidem INSS + FGTS + Férias + 13º, etc.   </t>
  </si>
  <si>
    <r>
      <rPr>
        <b/>
        <sz val="14"/>
        <rFont val="Arial"/>
        <family val="2"/>
      </rPr>
      <t xml:space="preserve">Remuneração 2 = Total da Remuneração que o empregado irá receber- </t>
    </r>
    <r>
      <rPr>
        <b/>
        <sz val="11"/>
        <color indexed="12"/>
        <rFont val="Arial"/>
        <family val="2"/>
      </rPr>
      <t>Valor entra nos seguintes cálculos: Item 2, "A" - Quadro-Resumo do Custo por Posto de Trabalho, Custos Indiretos, Lucro e Tributos.</t>
    </r>
  </si>
  <si>
    <r>
      <rPr>
        <b/>
        <sz val="11"/>
        <color indexed="8"/>
        <rFont val="Arial"/>
        <family val="2"/>
      </rPr>
      <t xml:space="preserve">Submódulo 2.1 – 13º (décimo terceiro) Salário </t>
    </r>
    <r>
      <rPr>
        <b/>
        <strike/>
        <sz val="11"/>
        <color indexed="25"/>
        <rFont val="Arial"/>
        <family val="2"/>
      </rPr>
      <t>(Férias???)</t>
    </r>
    <r>
      <rPr>
        <b/>
        <sz val="11"/>
        <color indexed="19"/>
        <rFont val="Arial"/>
        <family val="2"/>
      </rPr>
      <t xml:space="preserve"> </t>
    </r>
    <r>
      <rPr>
        <b/>
        <sz val="11"/>
        <color indexed="8"/>
        <rFont val="Arial"/>
        <family val="2"/>
      </rPr>
      <t>e Adicional de Férias</t>
    </r>
  </si>
  <si>
    <r>
      <rPr>
        <b/>
        <sz val="11"/>
        <color indexed="8"/>
        <rFont val="Arial"/>
        <family val="2"/>
      </rPr>
      <t xml:space="preserve">13º (décimo terceiro) Salário </t>
    </r>
    <r>
      <rPr>
        <b/>
        <strike/>
        <sz val="10"/>
        <color indexed="25"/>
        <rFont val="Arial"/>
        <family val="2"/>
      </rPr>
      <t>(Férias???)</t>
    </r>
    <r>
      <rPr>
        <b/>
        <strike/>
        <sz val="11"/>
        <color indexed="25"/>
        <rFont val="Arial"/>
        <family val="2"/>
      </rPr>
      <t xml:space="preserve"> </t>
    </r>
    <r>
      <rPr>
        <b/>
        <sz val="11"/>
        <color indexed="8"/>
        <rFont val="Arial"/>
        <family val="2"/>
      </rPr>
      <t>e Adicional de Férias</t>
    </r>
  </si>
  <si>
    <r>
      <rPr>
        <b/>
        <sz val="10"/>
        <color indexed="8"/>
        <rFont val="Arial"/>
        <family val="2"/>
      </rPr>
      <t>13º (décimo terceiro) Salário</t>
    </r>
    <r>
      <rPr>
        <b/>
        <sz val="11"/>
        <color indexed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>Obrigatória a cotação de 8,33% sobre o valor do Módulo 1 – Composição da Remuneração1, conforme Anexo XII da IN 5/17</t>
    </r>
  </si>
  <si>
    <r>
      <rPr>
        <b/>
        <sz val="10"/>
        <color indexed="8"/>
        <rFont val="Arial"/>
        <family val="2"/>
        <charset val="1"/>
      </rPr>
      <t xml:space="preserve">13º (décimo terceiro) Salário </t>
    </r>
    <r>
      <rPr>
        <b/>
        <strike/>
        <sz val="10"/>
        <color indexed="25"/>
        <rFont val="Arial"/>
        <family val="2"/>
      </rPr>
      <t>(Férias???)</t>
    </r>
    <r>
      <rPr>
        <b/>
        <sz val="10"/>
        <color indexed="38"/>
        <rFont val="Arial"/>
        <family val="2"/>
      </rPr>
      <t xml:space="preserve"> </t>
    </r>
    <r>
      <rPr>
        <b/>
        <sz val="10"/>
        <color indexed="8"/>
        <rFont val="Arial"/>
        <family val="2"/>
      </rPr>
      <t>e Adicional de Férias</t>
    </r>
  </si>
  <si>
    <r>
      <t>Multa do FGTS sobre o Aviso PrévioTrabalhado e Aviso Prévio Indenizado</t>
    </r>
    <r>
      <rPr>
        <b/>
        <sz val="8"/>
        <color indexed="10"/>
        <rFont val="Arial"/>
        <family val="2"/>
      </rPr>
      <t xml:space="preserve">Obrigatória a cotação de 4% sobre o valor do Módulo 1 – Composição da Remuneração1, conforme Anexo XII da IN Seges nº 5/2017 </t>
    </r>
  </si>
  <si>
    <t>Submódulo 4.1 – Substituto nas Ausências Legais</t>
  </si>
  <si>
    <t>Nº do processo:</t>
  </si>
  <si>
    <t>Licitação nº: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</si>
  <si>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</si>
  <si>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</si>
  <si>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</si>
  <si>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</si>
  <si>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</si>
  <si>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</si>
  <si>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Dissídio coletivo</t>
  </si>
  <si>
    <t>D</t>
  </si>
  <si>
    <t>IDENTIFICAÇÃO DO SERVIÇO</t>
  </si>
  <si>
    <t>Unidade
 de 
Medida</t>
  </si>
  <si>
    <t xml:space="preserve">Quantidade total a contratar (Em função da unidade de medida) </t>
  </si>
  <si>
    <t>posto</t>
  </si>
  <si>
    <t>-</t>
  </si>
  <si>
    <t>TOTAL DE POSTOS</t>
  </si>
  <si>
    <t>Nota 1: Esta tabela poderá ser adaptada às características do serviço contratado, inclusive no que concerne às rubricas e suas respectivas provisões e/ou estimativas, desde que haja justificativa.
Nota 2: As provisões constantes desta planilha poderão  ser desnecessárias quando se tratar de determinados serviços que prescindam da dedicação exclusiva dos trabalhadores da contratada para com a Administração.</t>
  </si>
  <si>
    <r>
      <rPr>
        <b/>
        <sz val="15"/>
        <rFont val="Arial"/>
        <family val="2"/>
      </rPr>
      <t xml:space="preserve">1. MÓDULOS 
</t>
    </r>
    <r>
      <rPr>
        <b/>
        <sz val="12"/>
        <color indexed="8"/>
        <rFont val="Arial"/>
        <family val="2"/>
      </rPr>
      <t xml:space="preserve">Mão de obra
</t>
    </r>
    <r>
      <rPr>
        <b/>
        <sz val="11"/>
        <color indexed="8"/>
        <rFont val="Arial"/>
        <family val="2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</si>
  <si>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</si>
  <si>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</si>
  <si>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Classificação Brasileira de Ocupações (CBO)</t>
  </si>
  <si>
    <t>Salário Normativo da Categoria Profissional</t>
  </si>
  <si>
    <t xml:space="preserve">Categoria Profissional (vinculada à execução contratual) </t>
  </si>
  <si>
    <t xml:space="preserve">Data-Base da Categoria (dia/mês/ano) </t>
  </si>
  <si>
    <r>
      <rPr>
        <b/>
        <sz val="10"/>
        <color indexed="10"/>
        <rFont val="Arial"/>
        <family val="2"/>
      </rPr>
      <t xml:space="preserve">Valor do salárioxhora sem periculosidade - 
</t>
    </r>
    <r>
      <rPr>
        <b/>
        <sz val="10"/>
        <color indexed="12"/>
        <rFont val="Arial"/>
        <family val="2"/>
      </rPr>
      <t>VSH (s/peri) = (Valor do salário normativo / 220 h)</t>
    </r>
  </si>
  <si>
    <r>
      <rPr>
        <b/>
        <sz val="10"/>
        <color indexed="10"/>
        <rFont val="Arial"/>
        <family val="2"/>
      </rPr>
      <t xml:space="preserve">Valor da hora extra sem periculosidade com 50% 
</t>
    </r>
    <r>
      <rPr>
        <b/>
        <sz val="10"/>
        <color indexed="12"/>
        <rFont val="Arial"/>
        <family val="2"/>
      </rPr>
      <t>HE (s/peri) = valor da hora + 50%</t>
    </r>
  </si>
  <si>
    <r>
      <rPr>
        <b/>
        <sz val="10"/>
        <color indexed="10"/>
        <rFont val="Arial"/>
        <family val="2"/>
      </rPr>
      <t xml:space="preserve">Valor da hora do adicional noturno sem periculosidade
</t>
    </r>
    <r>
      <rPr>
        <b/>
        <sz val="10"/>
        <color indexed="12"/>
        <rFont val="Arial"/>
        <family val="2"/>
      </rPr>
      <t>AN (s/peri) =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12"/>
        <rFont val="Arial"/>
        <family val="2"/>
      </rPr>
      <t>valor da hora x 20%</t>
    </r>
  </si>
  <si>
    <t>Nota 1:  Deverá ser elaborado um quadro para cada tipo de serviço.
Nota 2: A planilha será calculada considerando o valor mensal do empregado</t>
  </si>
  <si>
    <t>Módulo 1: Composição da Remuneração (por Posto)</t>
  </si>
  <si>
    <t>Composição da Remuneração (por Posto)</t>
  </si>
  <si>
    <t>Percentual (%)</t>
  </si>
  <si>
    <t xml:space="preserve">Valor 
(R$) </t>
  </si>
  <si>
    <t>E</t>
  </si>
  <si>
    <t>F</t>
  </si>
  <si>
    <t>G</t>
  </si>
  <si>
    <t>H</t>
  </si>
  <si>
    <t>Nota1:  O Módulo 1 refere-se ao valor mensal devido ao empregado pela prestação do serviço no período de 12 meses.</t>
  </si>
  <si>
    <t>Módulo 2 : Encargos e Benefícios Anuais, Mensais e Diários</t>
  </si>
  <si>
    <t>2.1</t>
  </si>
  <si>
    <t>Valor (R$)</t>
  </si>
  <si>
    <t>Total</t>
  </si>
  <si>
    <t>2.2</t>
  </si>
  <si>
    <t>GPS, FGTS e outras contribuições</t>
  </si>
  <si>
    <t>Valor
 (R$)</t>
  </si>
  <si>
    <t xml:space="preserve">INSS                                                                                                </t>
  </si>
  <si>
    <t xml:space="preserve">Salário Educação                                                                                            </t>
  </si>
  <si>
    <t>RAT =</t>
  </si>
  <si>
    <t xml:space="preserve"> FAP =</t>
  </si>
  <si>
    <t xml:space="preserve">SESC ou SESI                                                                                                 </t>
  </si>
  <si>
    <t xml:space="preserve">SENAC ou SENAI                                                                                           </t>
  </si>
  <si>
    <t xml:space="preserve">SEBRAE                                                                                                              </t>
  </si>
  <si>
    <t xml:space="preserve">INCRA                                                                                                                  </t>
  </si>
  <si>
    <t xml:space="preserve">FGTS                                                                                                                 </t>
  </si>
  <si>
    <t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2.1.</t>
  </si>
  <si>
    <t>Submódulo 2.3 – Benefícios Mensais e Diários</t>
  </si>
  <si>
    <t>2.3</t>
  </si>
  <si>
    <t>Benefícios Mensais e Diários</t>
  </si>
  <si>
    <r>
      <rPr>
        <b/>
        <sz val="10"/>
        <rFont val="Arial"/>
        <family val="2"/>
      </rPr>
      <t xml:space="preserve">Transporte                                                          </t>
    </r>
    <r>
      <rPr>
        <b/>
        <sz val="10"/>
        <color indexed="10"/>
        <rFont val="Arial"/>
        <family val="2"/>
      </rPr>
      <t>Cálculo do valor: [(2xVTx30) – (6%xSB)]</t>
    </r>
  </si>
  <si>
    <r>
      <rPr>
        <b/>
        <sz val="10"/>
        <rFont val="Arial"/>
        <family val="2"/>
      </rPr>
      <t xml:space="preserve">     </t>
    </r>
    <r>
      <rPr>
        <b/>
        <sz val="10"/>
        <color indexed="10"/>
        <rFont val="Arial"/>
        <family val="2"/>
      </rPr>
      <t>A.2) Quantidade de passagens por dia por empregado</t>
    </r>
  </si>
  <si>
    <t xml:space="preserve">     A.3) Quantidade de dias do mês de recebimento de passagens</t>
  </si>
  <si>
    <r>
      <rPr>
        <b/>
        <sz val="10"/>
        <rFont val="Arial"/>
        <family val="2"/>
      </rPr>
      <t xml:space="preserve">Auxílio-Refeição/Alimentação  </t>
    </r>
    <r>
      <rPr>
        <b/>
        <sz val="10"/>
        <color indexed="10"/>
        <rFont val="Arial"/>
        <family val="2"/>
      </rPr>
      <t>Cálculo do valor = [(30xVA)x(1-0,20)]</t>
    </r>
  </si>
  <si>
    <r>
      <rPr>
        <b/>
        <sz val="10"/>
        <rFont val="Arial"/>
        <family val="2"/>
      </rPr>
      <t xml:space="preserve">     </t>
    </r>
    <r>
      <rPr>
        <b/>
        <sz val="10"/>
        <color indexed="10"/>
        <rFont val="Arial"/>
        <family val="2"/>
      </rPr>
      <t>B.2) Quantidade de dias do mês de recebimento de auxílio-alimentação</t>
    </r>
  </si>
  <si>
    <t>Assistência Médica e Familiar</t>
  </si>
  <si>
    <t>Outros (especificar)</t>
  </si>
  <si>
    <t>Nota 1: o valor informado deverá ser o custo real do insumo (descontado o valor eventualmente pago pelo empregado).
Nota 2: Observar a previsão dos benefícios contidos em Acordos, Convenções e Dissídios Coletivos de Trabalho e atentar-se ao disposto no artigo 6º desta Instrução Normativa.</t>
  </si>
  <si>
    <t>Quadro-Resumo do Módulo 2 – Encargos e Benefícios Anuais, Mensais e Diários</t>
  </si>
  <si>
    <t>Encargos e Benefícios Anuais, Mensais e Diários</t>
  </si>
  <si>
    <t>Módulo 3 - Provisão para Rescisão</t>
  </si>
  <si>
    <t>Provisão para Rescisão</t>
  </si>
  <si>
    <t>Incidência do FGTS sobre o Aviso Prévio Indenizado</t>
  </si>
  <si>
    <t>Incidência de GPS, FGTS e outras contribuições sobre o Aviso Prévio Trabalhado</t>
  </si>
  <si>
    <t>TOTAL</t>
  </si>
  <si>
    <t>Módulo 4 - Custo de Reposição do Profissional Ausente</t>
  </si>
  <si>
    <t xml:space="preserve">Nota 1: Os itens que contemplam o módulo 4 se referem ao custo dos dias trabalhados pelo repositor/substituto quando o empregado alocado na prestação do serviço estiver ausente, conforme as previsões estabelecidas na legislação. </t>
  </si>
  <si>
    <t>MÓD 1                 (= a Rem1)=</t>
  </si>
  <si>
    <t>MÓD 3 =</t>
  </si>
  <si>
    <t>4.1</t>
  </si>
  <si>
    <t>Substituto nas Ausências Legais</t>
  </si>
  <si>
    <t>Submódulo 4.2 – Substituto na Intrajornada</t>
  </si>
  <si>
    <t xml:space="preserve">4.2 </t>
  </si>
  <si>
    <t>Substituto na Intrajornada</t>
  </si>
  <si>
    <t>Substituto na cobertura de Intervalo para repouso ou alimentação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</si>
  <si>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</si>
  <si>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</si>
  <si>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</si>
  <si>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</si>
  <si>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</si>
  <si>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Total </t>
  </si>
  <si>
    <t>Nota: Valores mensais por empregado</t>
  </si>
  <si>
    <t>Módulo 6 - Custos Indiretos, Lucro e Tributos</t>
  </si>
  <si>
    <t xml:space="preserve">Custos Indiretos, Lucro e Tributos </t>
  </si>
  <si>
    <t>BASE DE CÁLCULO DOS CUSTOS INDIRETOS  = 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Diversos)</t>
  </si>
  <si>
    <t>Custos Indiretos</t>
  </si>
  <si>
    <t>BASE DE CÁLCULO DO LUCRO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Indiretos)</t>
  </si>
  <si>
    <t>Lucro</t>
  </si>
  <si>
    <t>BASE DE CÁLCULO DOS TRIBUTOS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</si>
  <si>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>Tributos</t>
  </si>
  <si>
    <t>C.1    Tributos federais (especificar)</t>
  </si>
  <si>
    <r>
      <rPr>
        <sz val="10"/>
        <rFont val="Arial"/>
        <family val="2"/>
      </rPr>
      <t xml:space="preserve">  </t>
    </r>
    <r>
      <rPr>
        <b/>
        <sz val="10"/>
        <rFont val="Arial"/>
        <family val="2"/>
      </rPr>
      <t xml:space="preserve">a) Cofins </t>
    </r>
    <r>
      <rPr>
        <sz val="8.5"/>
        <color indexed="10"/>
        <rFont val="Arial"/>
        <family val="2"/>
      </rPr>
      <t>(depende do regime de tributação - utilizada a hipótese de Lucro Real ou Presumido)</t>
    </r>
  </si>
  <si>
    <r>
      <rPr>
        <sz val="10"/>
        <rFont val="Arial"/>
        <family val="2"/>
      </rPr>
      <t xml:space="preserve">  </t>
    </r>
    <r>
      <rPr>
        <b/>
        <sz val="10"/>
        <rFont val="Arial"/>
        <family val="2"/>
      </rPr>
      <t xml:space="preserve">b) PIS       </t>
    </r>
    <r>
      <rPr>
        <sz val="9"/>
        <color indexed="10"/>
        <rFont val="Arial"/>
        <family val="2"/>
      </rPr>
      <t>(depende do regime de tributação - utilizada a hipótese de Lucro Real ou Presumido)</t>
    </r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</si>
  <si>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</si>
  <si>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</si>
  <si>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</si>
  <si>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</si>
  <si>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</si>
  <si>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</si>
  <si>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</si>
  <si>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>Nota 1: Custos Indiretos, Lucro e Tributos por empregado.
Nota 2: O valor referente a tributos é obtido aplicando-se o percentual sobre o valor do faturamento.</t>
  </si>
  <si>
    <t>Mão de obra vinculada à execução contratual (valor por Posto de Trabalho)</t>
  </si>
  <si>
    <t>Módulo 1 - Composição da Remuneração2</t>
  </si>
  <si>
    <t>Módulo 2 – Encargos e Benefícios Anuais, Mensais e Diários</t>
  </si>
  <si>
    <t>Módulo 3 – Provisão para Rescisão</t>
  </si>
  <si>
    <t>Módulo 4 – Custo de Reposição do Profissional Ausente</t>
  </si>
  <si>
    <t>Subtotal (A + B + C + D + E)</t>
  </si>
  <si>
    <t>Valor Total por Posto</t>
  </si>
  <si>
    <t xml:space="preserve">O complemento abaixo é uma planilha auxiliar que consolida as várias planilhas com os diferentes tipos de postos </t>
  </si>
  <si>
    <t>3.  COMPLEMENTO DOS SERVIÇOS DE VIGILÂNCIA – VALOR MENSAL DOS SERVIÇOS</t>
  </si>
  <si>
    <t>ESCALA DE TRABALHO</t>
  </si>
  <si>
    <t>PREÇO MENSAL DO POSTO  
(R$)</t>
  </si>
  <si>
    <t>NÚMERO DE POSTOS</t>
  </si>
  <si>
    <t>SUBTOTAL
(R$)</t>
  </si>
  <si>
    <t>TOTAL:</t>
  </si>
  <si>
    <t xml:space="preserve">Nota: Nos casos de inclusão de outros tipos de postos, observar o disposto no item 4 do Anexo VI-A, desta Instrução Normativa </t>
  </si>
  <si>
    <t>Valor mensal do serviço</t>
  </si>
  <si>
    <t>Número de meses do contrato</t>
  </si>
  <si>
    <r>
      <rPr>
        <b/>
        <sz val="14"/>
        <rFont val="Arial"/>
        <family val="2"/>
      </rPr>
      <t xml:space="preserve">Valor global da proposta </t>
    </r>
    <r>
      <rPr>
        <b/>
        <sz val="10"/>
        <rFont val="Arial"/>
        <family val="2"/>
      </rPr>
      <t>(valor mensal do serviço x nº de meses do contrato)</t>
    </r>
  </si>
  <si>
    <t>Tipo de Mão de Obra</t>
  </si>
  <si>
    <t>Quantidade de Pessoal</t>
  </si>
  <si>
    <t>Especificação dos Materiais/Máquinas/Equipamentos</t>
  </si>
  <si>
    <t xml:space="preserve">Quantidade </t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</si>
  <si>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 xml:space="preserve">2. QUADRO-RESUMO DO CUSTO POR POSTO DE TRABALHO
</t>
    </r>
  </si>
  <si>
    <r>
      <t xml:space="preserve">Substituto na cobertura de Férias  </t>
    </r>
    <r>
      <rPr>
        <b/>
        <sz val="10"/>
        <color indexed="10"/>
        <rFont val="Arial"/>
        <family val="2"/>
      </rPr>
      <t xml:space="preserve">Obrigatória a cotação de 9,075% sobre o valor do Módulo 1 - Composição da Remuneração, </t>
    </r>
    <r>
      <rPr>
        <b/>
        <sz val="10"/>
        <color indexed="30"/>
        <rFont val="Arial"/>
        <family val="2"/>
      </rPr>
      <t xml:space="preserve">mais </t>
    </r>
    <r>
      <rPr>
        <b/>
        <sz val="10"/>
        <color indexed="10"/>
        <rFont val="Arial"/>
        <family val="2"/>
      </rPr>
      <t>o percentual do Submódulo 2.2 sobre o cálculo anterior, conforme Anexo XII da IN 5/17 (Férias + Adicional = 12,10% = 9,075% + 3,025%)</t>
    </r>
  </si>
  <si>
    <t xml:space="preserve">Módulo 5 - Insumos Diversos </t>
  </si>
  <si>
    <r>
      <t xml:space="preserve">MÓD 2  </t>
    </r>
    <r>
      <rPr>
        <b/>
        <sz val="10"/>
        <color indexed="10"/>
        <rFont val="Arial"/>
        <family val="2"/>
      </rPr>
      <t>(sem VA e VT)</t>
    </r>
    <r>
      <rPr>
        <b/>
        <sz val="11"/>
        <color indexed="12"/>
        <rFont val="Arial"/>
        <family val="2"/>
      </rPr>
      <t xml:space="preserve"> +Férias =</t>
    </r>
  </si>
  <si>
    <r>
      <t xml:space="preserve">RAT x FAP 
</t>
    </r>
    <r>
      <rPr>
        <b/>
        <sz val="7"/>
        <color indexed="10"/>
        <rFont val="Arial"/>
        <family val="2"/>
      </rPr>
      <t>Cálculo do valor: % do RAT (Riscos Ambientais do Trabalho) x FAP (Fator Acidentário de Prevenção de cada empresa)</t>
    </r>
  </si>
  <si>
    <r>
      <rPr>
        <b/>
        <sz val="12"/>
        <color indexed="8"/>
        <rFont val="Arial"/>
        <family val="2"/>
      </rPr>
      <t xml:space="preserve">Substituto na cobertura de Licença-Paternidade
</t>
    </r>
    <r>
      <rPr>
        <b/>
        <sz val="10"/>
        <color indexed="10"/>
        <rFont val="Arial"/>
        <family val="2"/>
      </rPr>
      <t>Cálculo do valor = {[(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/30)x5dias]/12}x1,5%</t>
    </r>
  </si>
  <si>
    <r>
      <rPr>
        <b/>
        <sz val="12"/>
        <color indexed="8"/>
        <rFont val="Arial"/>
        <family val="2"/>
      </rPr>
      <t xml:space="preserve">Substituto na cobertura de Afastamento Maternidade
</t>
    </r>
    <r>
      <rPr>
        <b/>
        <sz val="8"/>
        <color indexed="10"/>
        <rFont val="Arial"/>
        <family val="2"/>
      </rPr>
      <t>Cálculo do valor = [((Férias + Férias / 3) + SUB2.2 x (Férias + Férias / 3)) x (4/12)] x 2% + [( FGTS x Rem + SUB 2.2 x 13º</t>
    </r>
    <r>
      <rPr>
        <b/>
        <sz val="8"/>
        <color indexed="39"/>
        <rFont val="Arial"/>
        <family val="2"/>
      </rPr>
      <t xml:space="preserve"> </t>
    </r>
    <r>
      <rPr>
        <b/>
        <sz val="8"/>
        <color indexed="10"/>
        <rFont val="Arial"/>
        <family val="2"/>
      </rPr>
      <t xml:space="preserve">+ SUB2.3 – VA – VT + MÓD3) x (4/12)] } x 2%     
</t>
    </r>
    <r>
      <rPr>
        <b/>
        <sz val="8"/>
        <color indexed="12"/>
        <rFont val="Arial"/>
        <family val="2"/>
      </rPr>
      <t>Não incide Contribuição Previdenciária Patronal (INSS + 3ªs entidades) sobre a Remuneração da empregada residente nos 4 meses de Afastamento, conforme Solução de Consulta Cosit/RFB nº 27/2023, públicada na pág. 20 da Seção 1 do DOU de 09/02/2023. A Remuneração e o 13º da empregada residente poderão ser compensados, por isso não constam da fórmula.</t>
    </r>
  </si>
  <si>
    <r>
      <rPr>
        <b/>
        <sz val="12"/>
        <color indexed="8"/>
        <rFont val="Arial"/>
        <family val="2"/>
      </rPr>
      <t xml:space="preserve">Substituto na cobertura de Ausências Legais 
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/30)x1dia]/12</t>
    </r>
  </si>
  <si>
    <r>
      <t>Substituto na cobertura de Ausência por doença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12"/>
        <rFont val="Arial"/>
        <family val="2"/>
      </rPr>
      <t xml:space="preserve">
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 xml:space="preserve">)/30)x3dias]/12 </t>
    </r>
    <r>
      <rPr>
        <b/>
        <sz val="8"/>
        <color indexed="12"/>
        <rFont val="Arial"/>
        <family val="2"/>
      </rPr>
      <t xml:space="preserve"> Incluído por permissão da IN Seges nº 5/2017, Anexo VII-B, item 1.7, alíneas "b" e "c".5.</t>
    </r>
  </si>
  <si>
    <r>
      <rPr>
        <b/>
        <sz val="12"/>
        <rFont val="Arial"/>
        <family val="2"/>
      </rPr>
      <t xml:space="preserve">Substituto na cobertura de Ausência por acidente de trabalho
</t>
    </r>
    <r>
      <rPr>
        <b/>
        <sz val="8"/>
        <color indexed="10"/>
        <rFont val="Arial"/>
        <family val="2"/>
      </rPr>
      <t>Cálculo do valor = [(BCCPA)/30x0,69dias]/12</t>
    </r>
  </si>
  <si>
    <r>
      <t xml:space="preserve">Submódulo 2.2 - Encargos Previdenciários (GPS), Fundo de Garantia por Tempo de Serviço (FGTS) e outras contribuições  </t>
    </r>
    <r>
      <rPr>
        <b/>
        <sz val="11"/>
        <color indexed="12"/>
        <rFont val="Arial"/>
        <family val="2"/>
      </rPr>
      <t>(Base de Cálculo = Módulo 1 (Rem1) + Submódulo 2.1 + Intervalo Intrajornada)</t>
    </r>
  </si>
  <si>
    <r>
      <t>Base de cálculo para o Custo de Reposição do Profissional Ausente (substituto): BCCPA = MÓDULO 1 (= a Rem1) + MÓDULO 2 (- VA - VT) + FÉRIAS + MÓDULO 3</t>
    </r>
    <r>
      <rPr>
        <b/>
        <sz val="11"/>
        <color indexed="10"/>
        <rFont val="Arial"/>
        <family val="2"/>
      </rPr>
      <t xml:space="preserve">  - exceto o Substituto na cobertura de Férias e o Afastamento Maternidade, sendo que neste último a Rem e o 13º podem ser compensados pelo INSS, ambos com base de cálculo própria, conforme consta nesses itens de custo.</t>
    </r>
  </si>
  <si>
    <r>
      <t xml:space="preserve">Total da verba de natureza salarial na qual incidem somente INSS (mais terceiras entidades) e FGTS, em face da Solução de Consulta RFB/Cosit nº 108/2023 e Parecer Jurídico </t>
    </r>
    <r>
      <rPr>
        <b/>
        <sz val="11"/>
        <color indexed="10"/>
        <rFont val="Arial"/>
        <family val="2"/>
      </rPr>
      <t>- Empregado só recebe se estiver trabalhando.</t>
    </r>
    <r>
      <rPr>
        <b/>
        <sz val="11"/>
        <rFont val="Arial"/>
        <family val="2"/>
      </rPr>
      <t xml:space="preserve"> </t>
    </r>
    <r>
      <rPr>
        <b/>
        <sz val="11"/>
        <color indexed="12"/>
        <rFont val="Arial"/>
        <family val="2"/>
      </rPr>
      <t>Consulte sua assessoria jurídica</t>
    </r>
  </si>
  <si>
    <t>Unidade</t>
  </si>
  <si>
    <t>Quantidade a disponibilizar</t>
  </si>
  <si>
    <t>Depreciação (em meses)</t>
  </si>
  <si>
    <t>Quantidade Anual</t>
  </si>
  <si>
    <t>Valor Unitário</t>
  </si>
  <si>
    <t>Custo Anual</t>
  </si>
  <si>
    <t>Ponto biométrico</t>
  </si>
  <si>
    <t>pç</t>
  </si>
  <si>
    <t xml:space="preserve">CUSTO ANUAL DOS EQUIPAMENTOS </t>
  </si>
  <si>
    <t xml:space="preserve">CUSTO MENSAL DOS EQUIPAMENTOS </t>
  </si>
  <si>
    <t>Calça</t>
  </si>
  <si>
    <t>Camisa de manga curta</t>
  </si>
  <si>
    <t>camisa de manga longa</t>
  </si>
  <si>
    <t>Cinto nylon</t>
  </si>
  <si>
    <t>Capa de chuva</t>
  </si>
  <si>
    <t>Boné ou quepe</t>
  </si>
  <si>
    <t>par</t>
  </si>
  <si>
    <t>QUADRO RESUMO</t>
  </si>
  <si>
    <t>CUSTO ANUAL</t>
  </si>
  <si>
    <t>CUSTO MENSAL</t>
  </si>
  <si>
    <t>unidade</t>
  </si>
  <si>
    <t>Número de meses de execução contratual</t>
  </si>
  <si>
    <t>44 horas semanais diurnas -  de segunda à sábado</t>
  </si>
  <si>
    <t xml:space="preserve">Tipo de serviço:
                  Auxiliar de Vigilância Patrimonial                                                                                           </t>
  </si>
  <si>
    <t>5174-20</t>
  </si>
  <si>
    <t>Auxilar de Serviços Patrimoniais</t>
  </si>
  <si>
    <t>Aux. Serv. Patrimoniais</t>
  </si>
  <si>
    <t xml:space="preserve">Dia: </t>
  </si>
  <si>
    <t>Passo Fundo/RS</t>
  </si>
  <si>
    <r>
      <t xml:space="preserve">  a) ISS    </t>
    </r>
    <r>
      <rPr>
        <b/>
        <sz val="10"/>
        <color indexed="10"/>
        <rFont val="Arial"/>
        <family val="2"/>
      </rPr>
      <t>(Lei Municipal Passo Fundo nº 137 de 29/12/2004)</t>
    </r>
  </si>
  <si>
    <t>Quantidade de ASP por posto de serviço</t>
  </si>
  <si>
    <t>ASP</t>
  </si>
  <si>
    <r>
      <t xml:space="preserve">MATERIAIS, MÁQUINAS E EQUIPAMENTOS ALOCADOS NA EXECUÇÃO CONTRATUAL (item 6.2.f do Anexo VII da IN nº 5/2017  e </t>
    </r>
    <r>
      <rPr>
        <b/>
        <sz val="10"/>
        <color indexed="10"/>
        <rFont val="Arial"/>
        <family val="2"/>
      </rPr>
      <t>item XXXX do edital</t>
    </r>
    <r>
      <rPr>
        <b/>
        <sz val="10"/>
        <color indexed="8"/>
        <rFont val="Arial"/>
        <family val="2"/>
      </rPr>
      <t>)</t>
    </r>
  </si>
  <si>
    <r>
      <t xml:space="preserve">QUANTIDADE DE PESSOAL ALOCADO NA EXECUÇÃO CONTRATUAL (item 6.2.e do Anexo VII da IN nº 5/2017  e </t>
    </r>
    <r>
      <rPr>
        <b/>
        <sz val="10"/>
        <color indexed="10"/>
        <rFont val="Arial"/>
        <family val="2"/>
      </rPr>
      <t>item XXXX do edital</t>
    </r>
    <r>
      <rPr>
        <b/>
        <sz val="10"/>
        <color indexed="8"/>
        <rFont val="Arial"/>
        <family val="2"/>
      </rPr>
      <t>)</t>
    </r>
  </si>
  <si>
    <t>44 (quarenta e quatro) horas semanais diurnas, de segunda-feira a sábado envolvendo 1 (um) ASP</t>
  </si>
  <si>
    <t>RESUMO</t>
  </si>
  <si>
    <r>
      <t xml:space="preserve">Aviso Prévio Indenizado     </t>
    </r>
    <r>
      <rPr>
        <b/>
        <sz val="8"/>
        <color indexed="10"/>
        <rFont val="Arial"/>
        <family val="2"/>
      </rPr>
      <t xml:space="preserve"> </t>
    </r>
    <r>
      <rPr>
        <b/>
        <u/>
        <sz val="8"/>
        <color indexed="10"/>
        <rFont val="Arial"/>
        <family val="2"/>
      </rPr>
      <t>Cálculo do valor</t>
    </r>
    <r>
      <rPr>
        <b/>
        <sz val="8"/>
        <color indexed="10"/>
        <rFont val="Arial"/>
        <family val="2"/>
      </rPr>
      <t xml:space="preserve"> = [Rem/12 + 13º/12 + (Férias + 1/3 Férias)/12] x (</t>
    </r>
    <r>
      <rPr>
        <b/>
        <sz val="11"/>
        <color indexed="12"/>
        <rFont val="Arial"/>
        <family val="2"/>
      </rPr>
      <t>30 dias</t>
    </r>
    <r>
      <rPr>
        <b/>
        <sz val="8"/>
        <color indexed="10"/>
        <rFont val="Arial"/>
        <family val="2"/>
      </rPr>
      <t xml:space="preserve">/30=1) x 5% de rotatividade anual - Os reflexos de 13º, F e 1/3F são referentes a 1 mês de APInd - </t>
    </r>
    <r>
      <rPr>
        <b/>
        <sz val="8"/>
        <color indexed="12"/>
        <rFont val="Arial"/>
        <family val="2"/>
      </rPr>
      <t xml:space="preserve">Decorridos 12 meses de execução contratual, por ocasião do primeiro reajuste, repatuação ou prorrogação, poderão ser considerados </t>
    </r>
    <r>
      <rPr>
        <b/>
        <sz val="11"/>
        <color indexed="12"/>
        <rFont val="Arial"/>
        <family val="2"/>
      </rPr>
      <t>03 dias</t>
    </r>
    <r>
      <rPr>
        <b/>
        <sz val="8"/>
        <color indexed="12"/>
        <rFont val="Arial"/>
        <family val="2"/>
      </rPr>
      <t xml:space="preserve"> conforme Lei nº 12.506/2011, dependendo da análise do nº de ocorrências deste evento no período.</t>
    </r>
  </si>
  <si>
    <r>
      <t xml:space="preserve">Aviso Prévio Trabalhado      </t>
    </r>
    <r>
      <rPr>
        <b/>
        <sz val="10"/>
        <color indexed="10"/>
        <rFont val="Arial"/>
        <family val="2"/>
      </rPr>
      <t xml:space="preserve"> </t>
    </r>
    <r>
      <rPr>
        <b/>
        <u/>
        <sz val="9"/>
        <color indexed="10"/>
        <rFont val="Arial"/>
        <family val="2"/>
      </rPr>
      <t>Cálculo do valor</t>
    </r>
    <r>
      <rPr>
        <b/>
        <sz val="9"/>
        <color indexed="10"/>
        <rFont val="Arial"/>
        <family val="2"/>
      </rPr>
      <t xml:space="preserve"> = [(Rem1/30)x7]/ 12 meses de execução contraual x (</t>
    </r>
    <r>
      <rPr>
        <b/>
        <sz val="11"/>
        <color indexed="12"/>
        <rFont val="Arial"/>
        <family val="2"/>
      </rPr>
      <t>30 dias</t>
    </r>
    <r>
      <rPr>
        <b/>
        <sz val="9"/>
        <color indexed="10"/>
        <rFont val="Arial"/>
        <family val="2"/>
      </rPr>
      <t xml:space="preserve"> / 30) x 100% do empregados.</t>
    </r>
    <r>
      <rPr>
        <b/>
        <sz val="9"/>
        <rFont val="Arial"/>
        <family val="2"/>
      </rPr>
      <t xml:space="preserve"> </t>
    </r>
    <r>
      <rPr>
        <b/>
        <sz val="9"/>
        <color indexed="12"/>
        <rFont val="Arial"/>
        <family val="2"/>
      </rPr>
      <t xml:space="preserve">Decorridos 12 meses de execução contratual, </t>
    </r>
    <r>
      <rPr>
        <b/>
        <u/>
        <sz val="9"/>
        <color indexed="12"/>
        <rFont val="Arial"/>
        <family val="2"/>
      </rPr>
      <t>negociar extinção/redução</t>
    </r>
    <r>
      <rPr>
        <b/>
        <sz val="9"/>
        <color indexed="12"/>
        <rFont val="Arial"/>
        <family val="2"/>
      </rPr>
      <t>, por ocasição do primeiro reajuste, repactuação ou prorrogação.</t>
    </r>
    <r>
      <rPr>
        <b/>
        <sz val="9"/>
        <color indexed="10"/>
        <rFont val="Arial"/>
        <family val="2"/>
      </rPr>
      <t xml:space="preserve"> (Esta rubrica prevê </t>
    </r>
    <r>
      <rPr>
        <b/>
        <sz val="11"/>
        <color indexed="12"/>
        <rFont val="Arial"/>
        <family val="2"/>
      </rPr>
      <t>30 dias</t>
    </r>
    <r>
      <rPr>
        <b/>
        <sz val="9"/>
        <color indexed="10"/>
        <rFont val="Arial"/>
        <family val="2"/>
      </rPr>
      <t xml:space="preserve"> de aviso prévio, no entanto, decorridos 12 meses de execução, já integralmente provisioandos durante os primeiros 12 meses de execução contratual, o empregado tem direito a mais </t>
    </r>
    <r>
      <rPr>
        <b/>
        <sz val="11"/>
        <color indexed="12"/>
        <rFont val="Arial"/>
        <family val="2"/>
      </rPr>
      <t>03 dias</t>
    </r>
    <r>
      <rPr>
        <b/>
        <sz val="9"/>
        <color indexed="10"/>
        <rFont val="Arial"/>
        <family val="2"/>
      </rPr>
      <t xml:space="preserve"> de aviso prévio trabalhado para cada ano trabalhado, conforme Lei nº 12.506, dependendo da análise do nº de ocorrências deste evendo durante o período).</t>
    </r>
  </si>
  <si>
    <r>
      <t xml:space="preserve">Nota 1:  Como a planilha de custos e formação de preços é calculada mensalmente, provisiona-se proporcionalmente 1/12 (um doze avos) dos valores referentes à gratificação natalina e adicional de férias.
</t>
    </r>
    <r>
      <rPr>
        <b/>
        <sz val="9"/>
        <color indexed="12"/>
        <rFont val="Arial"/>
        <family val="2"/>
      </rPr>
      <t>Nota 2: O adicional de férias contido no Submódulo 2.1 corresponde a 3,025% do Módulo 1, em face do Anexo XII da IN nº 5/2017 exigir 12,10% no somatório de Férias + 1/3 de Férias (9,075% + 3,025%).</t>
    </r>
    <r>
      <rPr>
        <strike/>
        <sz val="9"/>
        <color indexed="8"/>
        <rFont val="Arial"/>
        <family val="2"/>
      </rPr>
      <t xml:space="preserve">
</t>
    </r>
    <r>
      <rPr>
        <b/>
        <strike/>
        <sz val="9"/>
        <color indexed="10"/>
        <rFont val="Arial"/>
        <family val="2"/>
      </rPr>
      <t/>
    </r>
  </si>
  <si>
    <r>
      <rPr>
        <b/>
        <sz val="10"/>
        <color indexed="8"/>
        <rFont val="Arial"/>
        <family val="2"/>
      </rPr>
      <t>Adicional de Férias</t>
    </r>
    <r>
      <rPr>
        <b/>
        <sz val="10"/>
        <color indexed="19"/>
        <rFont val="Arial"/>
        <family val="2"/>
      </rPr>
      <t xml:space="preserve"> </t>
    </r>
    <r>
      <rPr>
        <b/>
        <sz val="8"/>
        <color indexed="10"/>
        <rFont val="Arial"/>
        <family val="2"/>
      </rPr>
      <t xml:space="preserve">Obrigatória a cotação de 3,025% sobre o valor do Módulo 1 – Composição da Remuneração1. </t>
    </r>
    <r>
      <rPr>
        <b/>
        <sz val="9"/>
        <color indexed="12"/>
        <rFont val="Arial"/>
        <family val="2"/>
      </rPr>
      <t xml:space="preserve"> É vedada a cotação de Férias neste Submódulo, em face de tratar-se de Conta Vinculada. O custo do empregado substituto, quando o titular gozar férias, deverá ser previsto no Submódulo 4.1.A. Isso demonstra que a provisão de Férias neste Submódulo não teria  finalidade, em razão de que o pagamento do titular no seu mês de gozo de férias será feito pelo Módulo 1 - Composição da Remuneração. Na hipótese de o contrato não ser prorrogado, o pagamento relativo a Férias do empregado deverá ser efetivado pela provisão feita no Submódulo 4.1.A.</t>
    </r>
  </si>
  <si>
    <t>Vida Útil   (em meses)</t>
  </si>
  <si>
    <t xml:space="preserve">CUSTO ANUAL DOS UTENSÍLIOS </t>
  </si>
  <si>
    <t xml:space="preserve">CUSTO MENSAL DOS UTENSÍLIOS </t>
  </si>
  <si>
    <t>Jaqueta/Japona de Nylon</t>
  </si>
  <si>
    <t>Tênis macio e confortável</t>
  </si>
  <si>
    <t>Botas de chuva</t>
  </si>
  <si>
    <t>INSUMOS DIVERSOS - ASP (Auxiliar de Serviços Patrimoniais)</t>
  </si>
  <si>
    <t>MATERIAIS - ASP</t>
  </si>
  <si>
    <t>EQUIPAMENTOS - ASP</t>
  </si>
  <si>
    <t>Número de Postos</t>
  </si>
  <si>
    <t>Custo Mensal por Posto</t>
  </si>
  <si>
    <t>Custo Mensal Total</t>
  </si>
  <si>
    <t>QUADRO RESUMO - ASP</t>
  </si>
  <si>
    <t>Crachá</t>
  </si>
  <si>
    <t>TOTAL - ASP</t>
  </si>
  <si>
    <t>Materiais</t>
  </si>
  <si>
    <t>Equipamentos</t>
  </si>
  <si>
    <t>Uniformes</t>
  </si>
  <si>
    <t>Equipamentos de Uso Geral</t>
  </si>
  <si>
    <r>
      <t xml:space="preserve">ASP DIURNO 44 H SEMANAIS DE SEGUNDA-FEIRA A SÁBADO - </t>
    </r>
    <r>
      <rPr>
        <b/>
        <sz val="14"/>
        <color indexed="48"/>
        <rFont val="Arial"/>
        <family val="2"/>
      </rPr>
      <t xml:space="preserve">Lucro  Presumido </t>
    </r>
    <r>
      <rPr>
        <b/>
        <sz val="14"/>
        <color indexed="12"/>
        <rFont val="Arial"/>
        <family val="2"/>
      </rPr>
      <t xml:space="preserve">- </t>
    </r>
    <r>
      <rPr>
        <b/>
        <sz val="16"/>
        <color indexed="10"/>
        <rFont val="Arial"/>
        <family val="2"/>
      </rPr>
      <t>CONTA VINCULADA</t>
    </r>
  </si>
  <si>
    <t>Radios comunicadores *(especificar alcance e canal)</t>
  </si>
  <si>
    <r>
      <t xml:space="preserve">Prazo de validade do Orçamento: </t>
    </r>
    <r>
      <rPr>
        <b/>
        <sz val="10"/>
        <rFont val="Arial"/>
        <family val="2"/>
      </rPr>
      <t>120 dias</t>
    </r>
  </si>
  <si>
    <r>
      <t xml:space="preserve">Nome do responsavel pelo orçamento:  </t>
    </r>
    <r>
      <rPr>
        <b/>
        <sz val="10"/>
        <rFont val="Arial"/>
        <family val="2"/>
      </rPr>
      <t>XXXXXXXXXXXXXXXX</t>
    </r>
  </si>
  <si>
    <r>
      <t xml:space="preserve">Razão social da empresa: </t>
    </r>
    <r>
      <rPr>
        <b/>
        <sz val="10"/>
        <rFont val="Arial"/>
        <family val="2"/>
      </rPr>
      <t>XXXXXXXXXXXXXXXX</t>
    </r>
  </si>
  <si>
    <r>
      <t xml:space="preserve">CNPJ da empresa: </t>
    </r>
    <r>
      <rPr>
        <b/>
        <sz val="10"/>
        <rFont val="Arial"/>
        <family val="2"/>
      </rPr>
      <t>XXXXXXXXXXXXXXXX</t>
    </r>
  </si>
  <si>
    <r>
      <t xml:space="preserve">Endereço da empresa: </t>
    </r>
    <r>
      <rPr>
        <b/>
        <sz val="10"/>
        <rFont val="Arial"/>
        <family val="2"/>
      </rPr>
      <t>XXXXXXXXXXXXXXXX</t>
    </r>
  </si>
  <si>
    <r>
      <t xml:space="preserve">Telefone da empresa: </t>
    </r>
    <r>
      <rPr>
        <b/>
        <sz val="10"/>
        <rFont val="Arial"/>
        <family val="2"/>
      </rPr>
      <t>XXXXXXXXXXXXXXXX</t>
    </r>
  </si>
  <si>
    <r>
      <t xml:space="preserve">Site da empresa: </t>
    </r>
    <r>
      <rPr>
        <b/>
        <sz val="10"/>
        <rFont val="Arial"/>
        <family val="2"/>
      </rPr>
      <t>XXXXXXXXXXXXXXXX</t>
    </r>
  </si>
  <si>
    <r>
      <t xml:space="preserve">Declaração: </t>
    </r>
    <r>
      <rPr>
        <b/>
        <sz val="10"/>
        <rFont val="Arial"/>
        <family val="2"/>
      </rPr>
      <t>Neste orçamento estão inclusos todos os custos e despesas para execução total dos serviços, incluindo impostos, taxas, lucro, custos indiretos, etc.</t>
    </r>
  </si>
  <si>
    <t>assinatura do responsavel pelo orçamanto na empresa</t>
  </si>
  <si>
    <t>44 (quarenta e quatro) horas semanais noturnas, de segunda a sábado envolvendo 1 (um) ASP</t>
  </si>
  <si>
    <r>
      <t xml:space="preserve">ASP NOTURNO 44 H SEMANAIS DE SEGUNDA-FEIRA A SÁBADO - </t>
    </r>
    <r>
      <rPr>
        <b/>
        <sz val="14"/>
        <color indexed="48"/>
        <rFont val="Arial"/>
        <family val="2"/>
      </rPr>
      <t xml:space="preserve">Lucro Presumido </t>
    </r>
    <r>
      <rPr>
        <b/>
        <sz val="14"/>
        <color indexed="12"/>
        <rFont val="Arial"/>
        <family val="2"/>
      </rPr>
      <t xml:space="preserve">- </t>
    </r>
    <r>
      <rPr>
        <b/>
        <sz val="16"/>
        <color indexed="10"/>
        <rFont val="Arial"/>
        <family val="2"/>
      </rPr>
      <t>CONTA VINCULADA</t>
    </r>
  </si>
  <si>
    <t>ASP Noturno - 44H - segunda à sábado</t>
  </si>
  <si>
    <t>ASP Diurno - 44H - segunda à sábado</t>
  </si>
  <si>
    <t>Quantidade anual por trabalhador</t>
  </si>
  <si>
    <t>Quantidade anual por posto</t>
  </si>
  <si>
    <t>Quantidade a disponibilizar por posto</t>
  </si>
  <si>
    <t>Quantidade semestral por trabalhador</t>
  </si>
  <si>
    <r>
      <rPr>
        <b/>
        <sz val="10"/>
        <rFont val="Arial"/>
        <family val="2"/>
      </rPr>
      <t>XXXXXXXXXXXXXXXX</t>
    </r>
    <r>
      <rPr>
        <sz val="10"/>
        <rFont val="Arial"/>
        <family val="2"/>
      </rPr>
      <t xml:space="preserve">, </t>
    </r>
    <r>
      <rPr>
        <b/>
        <sz val="10"/>
        <rFont val="Arial"/>
        <family val="2"/>
      </rPr>
      <t>XX</t>
    </r>
    <r>
      <rPr>
        <sz val="10"/>
        <rFont val="Arial"/>
        <family val="2"/>
      </rPr>
      <t xml:space="preserve"> de </t>
    </r>
    <r>
      <rPr>
        <b/>
        <sz val="10"/>
        <rFont val="Arial"/>
        <family val="2"/>
      </rPr>
      <t>XXXXXXXXXXXXXXXX</t>
    </r>
    <r>
      <rPr>
        <sz val="10"/>
        <rFont val="Arial"/>
        <family val="2"/>
      </rPr>
      <t xml:space="preserve"> de </t>
    </r>
    <r>
      <rPr>
        <b/>
        <sz val="10"/>
        <rFont val="Arial"/>
        <family val="2"/>
      </rPr>
      <t>20XX</t>
    </r>
    <r>
      <rPr>
        <sz val="10"/>
        <rFont val="Arial"/>
        <family val="2"/>
      </rPr>
      <t>.</t>
    </r>
  </si>
  <si>
    <t>UNIFORMES - ASP (individual para posto)</t>
  </si>
  <si>
    <t>CUSTO ANUAL DOS UNIFORMES</t>
  </si>
  <si>
    <t>CUSTO MENSAL DOS UNIFORMES</t>
  </si>
  <si>
    <t>1º de abril de 2024</t>
  </si>
  <si>
    <t>44 horas semanais noturnas -  de segunda à sábado</t>
  </si>
  <si>
    <r>
      <t xml:space="preserve">     B.3) Participação do empregado em percentual sobre o auxílio-alimentação </t>
    </r>
    <r>
      <rPr>
        <b/>
        <sz val="10"/>
        <rFont val="Arial"/>
        <family val="2"/>
      </rPr>
      <t xml:space="preserve"> (cláusula 30 da CCT 2024/2025)</t>
    </r>
  </si>
  <si>
    <r>
      <t xml:space="preserve">     </t>
    </r>
    <r>
      <rPr>
        <b/>
        <sz val="10"/>
        <color indexed="10"/>
        <rFont val="Arial"/>
        <family val="2"/>
      </rPr>
      <t xml:space="preserve">B.1) Valor do Auxílio-Alimentação  </t>
    </r>
    <r>
      <rPr>
        <b/>
        <sz val="10"/>
        <rFont val="Arial"/>
        <family val="2"/>
      </rPr>
      <t>(cláusula 30 da CCT 2024/2025)</t>
    </r>
  </si>
  <si>
    <r>
      <t xml:space="preserve">     A.4) Participação do empregado em percentual do salário-base </t>
    </r>
    <r>
      <rPr>
        <b/>
        <sz val="10"/>
        <rFont val="Arial"/>
        <family val="2"/>
      </rPr>
      <t>(cláusula 32 da CCT 2024/2025)</t>
    </r>
  </si>
  <si>
    <r>
      <t>Seguro de Vida (cláusula 34 da CCT 2024/2025)</t>
    </r>
    <r>
      <rPr>
        <b/>
        <sz val="9"/>
        <color indexed="10"/>
        <rFont val="Arial"/>
        <family val="2"/>
      </rPr>
      <t xml:space="preserve"> Cálculo do valor: 26 x Remx 0,023%</t>
    </r>
    <r>
      <rPr>
        <b/>
        <sz val="10"/>
        <rFont val="Arial"/>
        <family val="2"/>
      </rPr>
      <t xml:space="preserve">
</t>
    </r>
    <r>
      <rPr>
        <b/>
        <sz val="8"/>
        <color indexed="12"/>
        <rFont val="Arial"/>
        <family val="2"/>
      </rPr>
      <t>O valor cotado pelo licitante deve ser fixado na planilha e somente deve ser alterado mediante repactuação com comprovação do aumento. Depois da licitação, excluir a fórmula</t>
    </r>
  </si>
  <si>
    <r>
      <t>Auxílio-Funeral   (cláusula 33 da CCT 2024/2025)</t>
    </r>
    <r>
      <rPr>
        <b/>
        <sz val="10"/>
        <color indexed="10"/>
        <rFont val="Arial"/>
        <family val="2"/>
      </rPr>
      <t xml:space="preserve"> Cálculo do valor: [(SB x 0,52066%)/12]</t>
    </r>
    <r>
      <rPr>
        <b/>
        <sz val="10"/>
        <rFont val="Arial"/>
        <family val="2"/>
      </rPr>
      <t xml:space="preserve">
</t>
    </r>
    <r>
      <rPr>
        <b/>
        <sz val="8"/>
        <color indexed="12"/>
        <rFont val="Arial"/>
        <family val="2"/>
      </rPr>
      <t>O valor cotado pelo licitante deve ser fixado na planilha e somente deve ser alterado mediante repactuação com comprovação do aumento. Depois da licitação, excluir a fórmula</t>
    </r>
  </si>
  <si>
    <r>
      <t xml:space="preserve">Salário-Base </t>
    </r>
    <r>
      <rPr>
        <b/>
        <sz val="10"/>
        <color indexed="10"/>
        <rFont val="Arial"/>
        <family val="2"/>
      </rPr>
      <t xml:space="preserve"> (valor para 1 ASP = 1 posto) </t>
    </r>
    <r>
      <rPr>
        <b/>
        <sz val="10"/>
        <rFont val="Arial"/>
        <family val="2"/>
      </rPr>
      <t>(cláusulas 5ª e 6ª da CCT 2024/2025)</t>
    </r>
  </si>
  <si>
    <r>
      <t xml:space="preserve">Ajuda de Custo  </t>
    </r>
    <r>
      <rPr>
        <b/>
        <sz val="9"/>
        <color indexed="10"/>
        <rFont val="Arial"/>
        <family val="2"/>
      </rPr>
      <t xml:space="preserve">Cálculo do valor: (SB x 10%) </t>
    </r>
    <r>
      <rPr>
        <b/>
        <sz val="9"/>
        <rFont val="Arial"/>
        <family val="2"/>
      </rPr>
      <t>(cláusula 28 da CCT 2024/2025)</t>
    </r>
    <r>
      <rPr>
        <b/>
        <sz val="10"/>
        <rFont val="Arial"/>
        <family val="2"/>
      </rPr>
      <t xml:space="preserve">
</t>
    </r>
  </si>
  <si>
    <r>
      <t xml:space="preserve">Adicional Noturno  sobre: 1) 7h de 60min p/dia + 2) 1,0 h reduzida noturna p/dia para o RS  </t>
    </r>
    <r>
      <rPr>
        <b/>
        <sz val="10"/>
        <color indexed="10"/>
        <rFont val="Arial"/>
        <family val="2"/>
      </rPr>
      <t xml:space="preserve">Cálculo do valor: AN (s/peri) x </t>
    </r>
    <r>
      <rPr>
        <b/>
        <sz val="10"/>
        <color indexed="18"/>
        <rFont val="Arial"/>
        <family val="2"/>
      </rPr>
      <t>1h)</t>
    </r>
    <r>
      <rPr>
        <b/>
        <sz val="10"/>
        <color indexed="10"/>
        <rFont val="Arial"/>
        <family val="2"/>
      </rPr>
      <t>x</t>
    </r>
    <r>
      <rPr>
        <b/>
        <u/>
        <sz val="10"/>
        <color indexed="10"/>
        <rFont val="Arial"/>
        <family val="2"/>
      </rPr>
      <t>22d</t>
    </r>
    <r>
      <rPr>
        <b/>
        <sz val="10"/>
        <color indexed="10"/>
        <rFont val="Arial"/>
        <family val="2"/>
      </rPr>
      <t xml:space="preserve">x1ASP. </t>
    </r>
    <r>
      <rPr>
        <b/>
        <sz val="10"/>
        <color indexed="12"/>
        <rFont val="Arial"/>
        <family val="2"/>
      </rPr>
      <t>Das 22h às 23h.</t>
    </r>
    <r>
      <rPr>
        <b/>
        <sz val="10"/>
        <rFont val="Arial"/>
        <family val="2"/>
      </rPr>
      <t xml:space="preserve">  (cláusulas 26 da CCT 2024/2025)</t>
    </r>
  </si>
  <si>
    <r>
      <t>Adicional de Hora Noturna Reduzida</t>
    </r>
    <r>
      <rPr>
        <b/>
        <sz val="10"/>
        <color indexed="10"/>
        <rFont val="Arial"/>
        <family val="2"/>
      </rPr>
      <t xml:space="preserve"> (Hora Reduzida Noturna como Extra) </t>
    </r>
    <r>
      <rPr>
        <b/>
        <sz val="10"/>
        <color indexed="12"/>
        <rFont val="Arial"/>
        <family val="2"/>
      </rPr>
      <t xml:space="preserve">(HRN) </t>
    </r>
    <r>
      <rPr>
        <b/>
        <sz val="10"/>
        <color indexed="10"/>
        <rFont val="Arial"/>
        <family val="2"/>
      </rPr>
      <t xml:space="preserve">Cálculo do valor: (Valor da hora + 50%) x </t>
    </r>
    <r>
      <rPr>
        <b/>
        <sz val="10"/>
        <color indexed="12"/>
        <rFont val="Arial"/>
        <family val="2"/>
      </rPr>
      <t>1 h</t>
    </r>
    <r>
      <rPr>
        <b/>
        <sz val="10"/>
        <color indexed="10"/>
        <rFont val="Arial"/>
        <family val="2"/>
      </rPr>
      <t xml:space="preserve"> x 22D x (60min-52,5min) / 60 min x 1 ASP) </t>
    </r>
    <r>
      <rPr>
        <b/>
        <sz val="10"/>
        <color indexed="12"/>
        <rFont val="Arial"/>
        <family val="2"/>
      </rPr>
      <t xml:space="preserve">Das 22h às 23h </t>
    </r>
    <r>
      <rPr>
        <b/>
        <sz val="10"/>
        <rFont val="Arial"/>
        <family val="2"/>
      </rPr>
      <t>(art. 73 da CLT e cláusula 74 da CCT 2024/2025)</t>
    </r>
  </si>
  <si>
    <r>
      <t xml:space="preserve">RSR (Repouso Semanal Remunerado) - </t>
    </r>
    <r>
      <rPr>
        <b/>
        <sz val="10"/>
        <color indexed="10"/>
        <rFont val="Arial"/>
        <family val="2"/>
      </rPr>
      <t xml:space="preserve">Cálculo do valor: 20% sobre os adicionais pertinentes) - </t>
    </r>
    <r>
      <rPr>
        <b/>
        <sz val="10"/>
        <rFont val="Arial"/>
        <family val="2"/>
      </rPr>
      <t xml:space="preserve"> (cláusula 16 da CCT 2024/2025)</t>
    </r>
  </si>
  <si>
    <r>
      <t xml:space="preserve">Intervalo Intrajornada </t>
    </r>
    <r>
      <rPr>
        <b/>
        <sz val="10"/>
        <color indexed="10"/>
        <rFont val="Arial"/>
        <family val="2"/>
      </rPr>
      <t>(Adicional de Intervalo)  Cálculo do valor: HE (s/peri) x 15d x2vigx</t>
    </r>
    <r>
      <rPr>
        <b/>
        <sz val="10"/>
        <color indexed="12"/>
        <rFont val="Arial"/>
        <family val="2"/>
      </rPr>
      <t>0,5h</t>
    </r>
    <r>
      <rPr>
        <b/>
        <sz val="10"/>
        <color indexed="10"/>
        <rFont val="Arial"/>
        <family val="2"/>
      </rPr>
      <t xml:space="preserve">) - </t>
    </r>
    <r>
      <rPr>
        <b/>
        <sz val="10"/>
        <rFont val="Arial"/>
        <family val="2"/>
      </rPr>
      <t xml:space="preserve">(cláusula 65 da CCT 2024/2025) </t>
    </r>
    <r>
      <rPr>
        <b/>
        <sz val="10"/>
        <color indexed="10"/>
        <rFont val="Arial"/>
        <family val="2"/>
      </rPr>
      <t>- este posto fará intervalo para refeições</t>
    </r>
  </si>
  <si>
    <r>
      <t xml:space="preserve">Salário-Base </t>
    </r>
    <r>
      <rPr>
        <b/>
        <sz val="10"/>
        <color indexed="10"/>
        <rFont val="Arial"/>
        <family val="2"/>
      </rPr>
      <t xml:space="preserve"> (valor para 2 vigilantes = 1 posto) </t>
    </r>
    <r>
      <rPr>
        <b/>
        <sz val="10"/>
        <rFont val="Arial"/>
        <family val="2"/>
      </rPr>
      <t>(cláusulas 5ª e 6ª da CCT 2024/2025)</t>
    </r>
  </si>
  <si>
    <r>
      <t xml:space="preserve">Adicional Noturno  sobre: 1) 7h de 60min p/dia + 2) 1,0 h reduzida noturna p/dia para o RS  </t>
    </r>
    <r>
      <rPr>
        <b/>
        <sz val="10"/>
        <color indexed="10"/>
        <rFont val="Arial"/>
        <family val="2"/>
      </rPr>
      <t xml:space="preserve">Cálculo do valor: AN (s/peri) x </t>
    </r>
    <r>
      <rPr>
        <b/>
        <sz val="10"/>
        <color indexed="18"/>
        <rFont val="Arial"/>
        <family val="2"/>
      </rPr>
      <t>1h)</t>
    </r>
    <r>
      <rPr>
        <b/>
        <sz val="10"/>
        <color indexed="10"/>
        <rFont val="Arial"/>
        <family val="2"/>
      </rPr>
      <t>x</t>
    </r>
    <r>
      <rPr>
        <b/>
        <u/>
        <sz val="10"/>
        <color indexed="10"/>
        <rFont val="Arial"/>
        <family val="2"/>
      </rPr>
      <t>22d</t>
    </r>
    <r>
      <rPr>
        <b/>
        <sz val="10"/>
        <color indexed="10"/>
        <rFont val="Arial"/>
        <family val="2"/>
      </rPr>
      <t xml:space="preserve">x1ASP. </t>
    </r>
    <r>
      <rPr>
        <b/>
        <sz val="10"/>
        <color indexed="8"/>
        <rFont val="Arial"/>
        <family val="2"/>
      </rPr>
      <t>(cláusulas 26 da CCT 2024/2025)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12"/>
        <rFont val="Arial"/>
        <family val="2"/>
      </rPr>
      <t>Este posto não atuará após as 22h.</t>
    </r>
  </si>
  <si>
    <r>
      <t>Adicional de Hora Noturna Reduzida</t>
    </r>
    <r>
      <rPr>
        <b/>
        <sz val="10"/>
        <color indexed="10"/>
        <rFont val="Arial"/>
        <family val="2"/>
      </rPr>
      <t xml:space="preserve"> (Hora Reduzida Noturna como Extra) </t>
    </r>
    <r>
      <rPr>
        <b/>
        <sz val="10"/>
        <color indexed="12"/>
        <rFont val="Arial"/>
        <family val="2"/>
      </rPr>
      <t xml:space="preserve">(HRN) </t>
    </r>
    <r>
      <rPr>
        <b/>
        <sz val="10"/>
        <color indexed="10"/>
        <rFont val="Arial"/>
        <family val="2"/>
      </rPr>
      <t xml:space="preserve">Cálculo do valor: (Valor da hora + 50%) x </t>
    </r>
    <r>
      <rPr>
        <b/>
        <sz val="10"/>
        <color indexed="12"/>
        <rFont val="Arial"/>
        <family val="2"/>
      </rPr>
      <t>1 h</t>
    </r>
    <r>
      <rPr>
        <b/>
        <sz val="10"/>
        <color indexed="10"/>
        <rFont val="Arial"/>
        <family val="2"/>
      </rPr>
      <t xml:space="preserve"> x 22D x (60min-52,5min) / 60 min x 1 ASP).</t>
    </r>
    <r>
      <rPr>
        <b/>
        <sz val="10"/>
        <rFont val="Arial"/>
        <family val="2"/>
      </rPr>
      <t xml:space="preserve"> (art. 73 da CLT e cláusula 74 da CCT 2024/2025)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12"/>
        <rFont val="Arial"/>
        <family val="2"/>
      </rPr>
      <t>Este Posto não atuará após as 22h.</t>
    </r>
  </si>
  <si>
    <r>
      <rPr>
        <b/>
        <sz val="10"/>
        <color indexed="10"/>
        <rFont val="Arial"/>
        <family val="2"/>
      </rPr>
      <t xml:space="preserve">     A.1)  Valor da passagem do transporte coletivo no município de
                prestação dos serviços </t>
    </r>
    <r>
      <rPr>
        <b/>
        <sz val="10"/>
        <rFont val="Arial"/>
        <family val="2"/>
      </rPr>
      <t>(Decreto Municipal P. Fundo nº 113/2024)</t>
    </r>
  </si>
  <si>
    <t>Grupo 2</t>
  </si>
  <si>
    <t>Item 4</t>
  </si>
  <si>
    <t>Item 5</t>
  </si>
  <si>
    <r>
      <t xml:space="preserve">ANEXO XX </t>
    </r>
    <r>
      <rPr>
        <b/>
        <sz val="18"/>
        <color indexed="10"/>
        <rFont val="Arial"/>
        <family val="2"/>
      </rPr>
      <t>do Pregão Nº XX/202X-</t>
    </r>
    <r>
      <rPr>
        <b/>
        <sz val="16"/>
        <color indexed="12"/>
        <rFont val="Arial"/>
        <family val="2"/>
      </rPr>
      <t xml:space="preserve">Conta Vinculada
</t>
    </r>
    <r>
      <rPr>
        <b/>
        <sz val="18"/>
        <rFont val="Arial"/>
        <family val="2"/>
      </rPr>
      <t xml:space="preserve">MODELO DE PLANILHA DE CUSTOS E FORMAÇÃO DE PREÇOS </t>
    </r>
    <r>
      <rPr>
        <b/>
        <sz val="18"/>
        <color indexed="20"/>
        <rFont val="Arial"/>
        <family val="2"/>
      </rPr>
      <t xml:space="preserve"> </t>
    </r>
  </si>
  <si>
    <r>
      <t xml:space="preserve">ANEXO XX </t>
    </r>
    <r>
      <rPr>
        <b/>
        <sz val="18"/>
        <color indexed="10"/>
        <rFont val="Arial"/>
        <family val="2"/>
      </rPr>
      <t>do Pregão Nº XX/202X</t>
    </r>
    <r>
      <rPr>
        <b/>
        <sz val="16"/>
        <color indexed="12"/>
        <rFont val="Arial"/>
        <family val="2"/>
      </rPr>
      <t xml:space="preserve">
</t>
    </r>
    <r>
      <rPr>
        <b/>
        <sz val="18"/>
        <rFont val="Arial"/>
        <family val="2"/>
      </rPr>
      <t xml:space="preserve">MODELO DE PLANILHA DE CUSTOS E FORMAÇÃO DE PREÇOS </t>
    </r>
    <r>
      <rPr>
        <b/>
        <sz val="18"/>
        <color indexed="20"/>
        <rFont val="Arial"/>
        <family val="2"/>
      </rPr>
      <t xml:space="preserve"> </t>
    </r>
  </si>
  <si>
    <t>EQUIPAMENTOS DE USO GERAL  - ASP</t>
  </si>
  <si>
    <t>INSUMOS DE USO GERAL  (ASP)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</si>
</sst>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(* #,##0.00_);_(* \(#,##0.00\);_(* \-??_);_(@_)"/>
    <numFmt numFmtId="165" formatCode="_(&quot;R$ &quot;* #,##0.00_);_(&quot;R$ &quot;* \(#,##0.00\);_(&quot;R$ &quot;* \-??_);_(@_)"/>
    <numFmt numFmtId="166" formatCode="&quot;R$ &quot;#,##0.00"/>
    <numFmt numFmtId="167" formatCode="0.0000"/>
    <numFmt numFmtId="168" formatCode="0.0000%"/>
    <numFmt numFmtId="169" formatCode="0.000%"/>
    <numFmt numFmtId="170" formatCode="0.0"/>
    <numFmt numFmtId="171" formatCode="0.0%"/>
  </numFmts>
  <fonts count="83" x14ac:knownFonts="1">
    <font>
      <sz val="10"/>
      <name val="Arial"/>
      <family val="2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9"/>
      <name val="Arial"/>
      <family val="2"/>
    </font>
    <font>
      <b/>
      <sz val="15"/>
      <color indexed="20"/>
      <name val="Arial"/>
      <family val="2"/>
    </font>
    <font>
      <b/>
      <sz val="18"/>
      <name val="Arial"/>
      <family val="2"/>
    </font>
    <font>
      <b/>
      <sz val="18"/>
      <color indexed="10"/>
      <name val="Arial"/>
      <family val="2"/>
    </font>
    <font>
      <b/>
      <sz val="16"/>
      <color indexed="12"/>
      <name val="Arial"/>
      <family val="2"/>
    </font>
    <font>
      <b/>
      <sz val="18"/>
      <color indexed="2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12"/>
      <color indexed="10"/>
      <name val="Arial"/>
      <family val="2"/>
    </font>
    <font>
      <b/>
      <sz val="15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1"/>
      <color indexed="10"/>
      <name val="Arial"/>
      <family val="2"/>
    </font>
    <font>
      <b/>
      <sz val="9.5"/>
      <color indexed="12"/>
      <name val="Arial"/>
      <family val="2"/>
    </font>
    <font>
      <sz val="9"/>
      <color indexed="8"/>
      <name val="Arial"/>
      <family val="2"/>
    </font>
    <font>
      <b/>
      <sz val="12"/>
      <name val="Arial"/>
      <family val="2"/>
    </font>
    <font>
      <b/>
      <sz val="10"/>
      <color indexed="18"/>
      <name val="Arial"/>
      <family val="2"/>
    </font>
    <font>
      <b/>
      <sz val="14"/>
      <name val="Arial"/>
      <family val="2"/>
    </font>
    <font>
      <b/>
      <sz val="11"/>
      <color indexed="12"/>
      <name val="Arial"/>
      <family val="2"/>
    </font>
    <font>
      <sz val="10"/>
      <color indexed="8"/>
      <name val="Arial"/>
      <family val="2"/>
    </font>
    <font>
      <b/>
      <sz val="11"/>
      <color indexed="19"/>
      <name val="Arial"/>
      <family val="2"/>
    </font>
    <font>
      <b/>
      <sz val="9"/>
      <color indexed="10"/>
      <name val="Arial"/>
      <family val="2"/>
    </font>
    <font>
      <sz val="9"/>
      <color indexed="19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  <charset val="1"/>
    </font>
    <font>
      <b/>
      <sz val="10"/>
      <color indexed="38"/>
      <name val="Arial"/>
      <family val="2"/>
    </font>
    <font>
      <b/>
      <sz val="10"/>
      <color indexed="19"/>
      <name val="Arial"/>
      <family val="2"/>
    </font>
    <font>
      <b/>
      <sz val="14"/>
      <color indexed="12"/>
      <name val="Arial"/>
      <family val="2"/>
    </font>
    <font>
      <sz val="8.5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39"/>
      <name val="Arial"/>
      <family val="2"/>
    </font>
    <font>
      <b/>
      <sz val="9"/>
      <color indexed="39"/>
      <name val="Arial"/>
      <family val="2"/>
    </font>
    <font>
      <sz val="10"/>
      <color indexed="10"/>
      <name val="Arial"/>
      <family val="2"/>
    </font>
    <font>
      <b/>
      <sz val="14"/>
      <color indexed="10"/>
      <name val="Arial"/>
      <family val="2"/>
    </font>
    <font>
      <b/>
      <sz val="14"/>
      <color indexed="48"/>
      <name val="Arial"/>
      <family val="2"/>
    </font>
    <font>
      <b/>
      <sz val="16"/>
      <color indexed="10"/>
      <name val="Arial"/>
      <family val="2"/>
    </font>
    <font>
      <b/>
      <strike/>
      <sz val="11"/>
      <color indexed="25"/>
      <name val="Arial"/>
      <family val="2"/>
    </font>
    <font>
      <b/>
      <strike/>
      <sz val="10"/>
      <color indexed="25"/>
      <name val="Arial"/>
      <family val="2"/>
    </font>
    <font>
      <b/>
      <strike/>
      <sz val="10"/>
      <color indexed="10"/>
      <name val="Arial"/>
      <family val="2"/>
    </font>
    <font>
      <b/>
      <strike/>
      <sz val="9"/>
      <color indexed="10"/>
      <name val="Arial"/>
      <family val="2"/>
    </font>
    <font>
      <sz val="10"/>
      <name val="Arial"/>
      <family val="2"/>
    </font>
    <font>
      <b/>
      <sz val="8"/>
      <color indexed="12"/>
      <name val="Arial"/>
      <family val="2"/>
    </font>
    <font>
      <b/>
      <sz val="9"/>
      <color indexed="12"/>
      <name val="Arial"/>
      <family val="2"/>
    </font>
    <font>
      <b/>
      <sz val="10"/>
      <color indexed="30"/>
      <name val="Arial"/>
      <family val="2"/>
    </font>
    <font>
      <strike/>
      <sz val="9"/>
      <color indexed="8"/>
      <name val="Arial"/>
      <family val="2"/>
    </font>
    <font>
      <b/>
      <sz val="9"/>
      <name val="Arial"/>
      <family val="2"/>
    </font>
    <font>
      <b/>
      <sz val="7"/>
      <color indexed="10"/>
      <name val="Arial"/>
      <family val="2"/>
    </font>
    <font>
      <b/>
      <sz val="8"/>
      <color indexed="39"/>
      <name val="Arial"/>
      <family val="2"/>
    </font>
    <font>
      <b/>
      <u/>
      <sz val="10"/>
      <color indexed="10"/>
      <name val="Arial"/>
      <family val="2"/>
    </font>
    <font>
      <b/>
      <u/>
      <sz val="8"/>
      <color indexed="10"/>
      <name val="Arial"/>
      <family val="2"/>
    </font>
    <font>
      <b/>
      <u/>
      <sz val="9"/>
      <color indexed="12"/>
      <name val="Arial"/>
      <family val="2"/>
    </font>
    <font>
      <b/>
      <u/>
      <sz val="9"/>
      <color indexed="10"/>
      <name val="Arial"/>
      <family val="2"/>
    </font>
    <font>
      <b/>
      <sz val="15"/>
      <color indexed="18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20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1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7" tint="0.59999389629810485"/>
        <b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FFFF00"/>
        <bgColor indexed="22"/>
      </patternFill>
    </fill>
    <fill>
      <patternFill patternType="solid">
        <fgColor theme="5"/>
        <bgColor indexed="22"/>
      </patternFill>
    </fill>
    <fill>
      <patternFill patternType="solid">
        <fgColor theme="7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ck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165" fontId="62" fillId="0" borderId="0" applyFill="0" applyBorder="0" applyAlignment="0" applyProtection="0"/>
    <xf numFmtId="0" fontId="10" fillId="22" borderId="0" applyNumberFormat="0" applyBorder="0" applyAlignment="0" applyProtection="0"/>
    <xf numFmtId="0" fontId="62" fillId="23" borderId="4" applyNumberFormat="0" applyAlignment="0" applyProtection="0"/>
    <xf numFmtId="9" fontId="1" fillId="0" borderId="0" applyFill="0" applyBorder="0" applyAlignment="0" applyProtection="0"/>
    <xf numFmtId="0" fontId="11" fillId="16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4" fillId="0" borderId="9" applyNumberFormat="0" applyFill="0" applyAlignment="0" applyProtection="0"/>
    <xf numFmtId="164" fontId="62" fillId="0" borderId="0" applyFill="0" applyBorder="0" applyAlignment="0" applyProtection="0"/>
  </cellStyleXfs>
  <cellXfs count="388">
    <xf numFmtId="0" fontId="0" fillId="0" borderId="0" xfId="0"/>
    <xf numFmtId="0" fontId="19" fillId="0" borderId="0" xfId="0" applyFont="1"/>
    <xf numFmtId="0" fontId="19" fillId="24" borderId="0" xfId="0" applyFont="1" applyFill="1"/>
    <xf numFmtId="0" fontId="25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5" fillId="22" borderId="1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/>
    </xf>
    <xf numFmtId="10" fontId="19" fillId="0" borderId="0" xfId="44" applyNumberFormat="1" applyFont="1" applyFill="1" applyBorder="1" applyAlignment="1" applyProtection="1">
      <alignment horizontal="center" vertical="center"/>
    </xf>
    <xf numFmtId="165" fontId="19" fillId="0" borderId="0" xfId="31" applyFont="1" applyFill="1" applyBorder="1" applyAlignment="1" applyProtection="1">
      <alignment vertical="center"/>
    </xf>
    <xf numFmtId="0" fontId="25" fillId="0" borderId="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/>
    </xf>
    <xf numFmtId="0" fontId="27" fillId="22" borderId="11" xfId="0" applyFont="1" applyFill="1" applyBorder="1" applyAlignment="1">
      <alignment horizontal="center" vertical="center" wrapText="1"/>
    </xf>
    <xf numFmtId="0" fontId="27" fillId="22" borderId="10" xfId="0" applyFont="1" applyFill="1" applyBorder="1" applyAlignment="1">
      <alignment horizontal="center" vertical="center" wrapText="1"/>
    </xf>
    <xf numFmtId="0" fontId="25" fillId="22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4" fontId="25" fillId="0" borderId="10" xfId="0" applyNumberFormat="1" applyFont="1" applyFill="1" applyBorder="1" applyAlignment="1">
      <alignment vertical="center"/>
    </xf>
    <xf numFmtId="4" fontId="25" fillId="0" borderId="10" xfId="0" applyNumberFormat="1" applyFont="1" applyFill="1" applyBorder="1" applyAlignment="1">
      <alignment horizontal="center" vertical="center"/>
    </xf>
    <xf numFmtId="4" fontId="19" fillId="0" borderId="0" xfId="0" applyNumberFormat="1" applyFont="1"/>
    <xf numFmtId="4" fontId="27" fillId="22" borderId="10" xfId="0" applyNumberFormat="1" applyFont="1" applyFill="1" applyBorder="1" applyAlignment="1">
      <alignment vertical="center"/>
    </xf>
    <xf numFmtId="4" fontId="39" fillId="22" borderId="10" xfId="0" applyNumberFormat="1" applyFont="1" applyFill="1" applyBorder="1" applyAlignment="1">
      <alignment horizontal="right" vertical="center" wrapText="1"/>
    </xf>
    <xf numFmtId="0" fontId="31" fillId="0" borderId="10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/>
    </xf>
    <xf numFmtId="4" fontId="32" fillId="22" borderId="10" xfId="0" applyNumberFormat="1" applyFont="1" applyFill="1" applyBorder="1" applyAlignment="1">
      <alignment horizontal="right" vertical="center"/>
    </xf>
    <xf numFmtId="0" fontId="19" fillId="0" borderId="0" xfId="0" applyFont="1" applyFill="1"/>
    <xf numFmtId="0" fontId="31" fillId="22" borderId="12" xfId="0" applyFont="1" applyFill="1" applyBorder="1" applyAlignment="1">
      <alignment horizontal="center" vertical="center"/>
    </xf>
    <xf numFmtId="0" fontId="31" fillId="22" borderId="10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/>
    </xf>
    <xf numFmtId="10" fontId="25" fillId="0" borderId="10" xfId="0" applyNumberFormat="1" applyFont="1" applyFill="1" applyBorder="1" applyAlignment="1">
      <alignment horizontal="right" vertical="center"/>
    </xf>
    <xf numFmtId="4" fontId="25" fillId="0" borderId="10" xfId="0" applyNumberFormat="1" applyFont="1" applyFill="1" applyBorder="1" applyAlignment="1">
      <alignment horizontal="right" vertical="center"/>
    </xf>
    <xf numFmtId="10" fontId="25" fillId="0" borderId="10" xfId="0" applyNumberFormat="1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 wrapText="1"/>
    </xf>
    <xf numFmtId="168" fontId="25" fillId="0" borderId="10" xfId="0" applyNumberFormat="1" applyFont="1" applyBorder="1" applyAlignment="1">
      <alignment horizontal="right" vertical="center"/>
    </xf>
    <xf numFmtId="168" fontId="25" fillId="22" borderId="10" xfId="0" applyNumberFormat="1" applyFont="1" applyFill="1" applyBorder="1" applyAlignment="1">
      <alignment horizontal="right" vertical="center"/>
    </xf>
    <xf numFmtId="4" fontId="25" fillId="22" borderId="10" xfId="0" applyNumberFormat="1" applyFont="1" applyFill="1" applyBorder="1" applyAlignment="1">
      <alignment horizontal="right" vertical="center"/>
    </xf>
    <xf numFmtId="0" fontId="25" fillId="25" borderId="12" xfId="0" applyFont="1" applyFill="1" applyBorder="1" applyAlignment="1">
      <alignment horizontal="right" vertical="center"/>
    </xf>
    <xf numFmtId="0" fontId="0" fillId="25" borderId="13" xfId="0" applyFill="1" applyBorder="1" applyAlignment="1">
      <alignment horizontal="right" vertical="center"/>
    </xf>
    <xf numFmtId="10" fontId="25" fillId="25" borderId="13" xfId="0" applyNumberFormat="1" applyFont="1" applyFill="1" applyBorder="1" applyAlignment="1">
      <alignment horizontal="right" vertical="center"/>
    </xf>
    <xf numFmtId="4" fontId="25" fillId="25" borderId="14" xfId="0" applyNumberFormat="1" applyFont="1" applyFill="1" applyBorder="1" applyAlignment="1">
      <alignment horizontal="right" vertical="center"/>
    </xf>
    <xf numFmtId="0" fontId="27" fillId="22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4" fontId="25" fillId="0" borderId="10" xfId="0" applyNumberFormat="1" applyFont="1" applyBorder="1" applyAlignment="1">
      <alignment horizontal="right" vertical="center"/>
    </xf>
    <xf numFmtId="4" fontId="25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vertical="center"/>
    </xf>
    <xf numFmtId="3" fontId="26" fillId="0" borderId="10" xfId="0" applyNumberFormat="1" applyFont="1" applyBorder="1" applyAlignment="1">
      <alignment vertical="center"/>
    </xf>
    <xf numFmtId="10" fontId="26" fillId="0" borderId="12" xfId="0" applyNumberFormat="1" applyFont="1" applyBorder="1" applyAlignment="1">
      <alignment vertical="center"/>
    </xf>
    <xf numFmtId="4" fontId="25" fillId="0" borderId="10" xfId="0" applyNumberFormat="1" applyFont="1" applyBorder="1" applyAlignment="1" applyProtection="1">
      <alignment horizontal="right" vertical="center"/>
      <protection locked="0"/>
    </xf>
    <xf numFmtId="4" fontId="25" fillId="0" borderId="10" xfId="0" applyNumberFormat="1" applyFont="1" applyBorder="1" applyAlignment="1">
      <alignment horizontal="right" vertical="center" wrapText="1"/>
    </xf>
    <xf numFmtId="0" fontId="25" fillId="22" borderId="10" xfId="0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 wrapText="1"/>
    </xf>
    <xf numFmtId="4" fontId="46" fillId="0" borderId="10" xfId="0" applyNumberFormat="1" applyFont="1" applyFill="1" applyBorder="1" applyAlignment="1">
      <alignment horizontal="right" vertical="center" wrapText="1"/>
    </xf>
    <xf numFmtId="4" fontId="46" fillId="22" borderId="10" xfId="0" applyNumberFormat="1" applyFont="1" applyFill="1" applyBorder="1" applyAlignment="1">
      <alignment horizontal="right" vertical="center" wrapText="1"/>
    </xf>
    <xf numFmtId="0" fontId="40" fillId="0" borderId="10" xfId="0" applyFont="1" applyFill="1" applyBorder="1" applyAlignment="1">
      <alignment horizontal="right" vertical="center" wrapText="1"/>
    </xf>
    <xf numFmtId="4" fontId="40" fillId="0" borderId="10" xfId="0" applyNumberFormat="1" applyFont="1" applyFill="1" applyBorder="1" applyAlignment="1">
      <alignment horizontal="left" vertical="center" wrapText="1"/>
    </xf>
    <xf numFmtId="4" fontId="37" fillId="0" borderId="10" xfId="0" applyNumberFormat="1" applyFont="1" applyFill="1" applyBorder="1" applyAlignment="1">
      <alignment horizontal="right" vertical="center" wrapText="1"/>
    </xf>
    <xf numFmtId="0" fontId="27" fillId="22" borderId="10" xfId="0" applyFont="1" applyFill="1" applyBorder="1" applyAlignment="1">
      <alignment horizontal="center"/>
    </xf>
    <xf numFmtId="0" fontId="31" fillId="22" borderId="10" xfId="0" applyFont="1" applyFill="1" applyBorder="1" applyAlignment="1">
      <alignment horizontal="center" vertical="center"/>
    </xf>
    <xf numFmtId="4" fontId="31" fillId="22" borderId="10" xfId="0" applyNumberFormat="1" applyFont="1" applyFill="1" applyBorder="1" applyAlignment="1">
      <alignment horizontal="center" vertical="center"/>
    </xf>
    <xf numFmtId="4" fontId="32" fillId="0" borderId="10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center" vertical="center" wrapText="1"/>
    </xf>
    <xf numFmtId="4" fontId="25" fillId="22" borderId="10" xfId="0" applyNumberFormat="1" applyFont="1" applyFill="1" applyBorder="1" applyAlignment="1">
      <alignment horizontal="right" vertical="center" wrapText="1"/>
    </xf>
    <xf numFmtId="0" fontId="39" fillId="25" borderId="12" xfId="0" applyFont="1" applyFill="1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0" fillId="25" borderId="14" xfId="0" applyFill="1" applyBorder="1" applyAlignment="1">
      <alignment horizontal="center" vertical="center"/>
    </xf>
    <xf numFmtId="4" fontId="27" fillId="22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4" fontId="26" fillId="0" borderId="10" xfId="0" applyNumberFormat="1" applyFont="1" applyFill="1" applyBorder="1" applyAlignment="1">
      <alignment horizontal="right" vertical="center"/>
    </xf>
    <xf numFmtId="10" fontId="26" fillId="0" borderId="10" xfId="0" applyNumberFormat="1" applyFont="1" applyBorder="1" applyAlignment="1">
      <alignment horizontal="center" vertical="center"/>
    </xf>
    <xf numFmtId="0" fontId="37" fillId="0" borderId="10" xfId="0" applyFont="1" applyFill="1" applyBorder="1" applyAlignment="1">
      <alignment horizontal="center" vertical="center"/>
    </xf>
    <xf numFmtId="10" fontId="25" fillId="0" borderId="10" xfId="0" applyNumberFormat="1" applyFont="1" applyBorder="1" applyAlignment="1">
      <alignment horizontal="center" vertical="center"/>
    </xf>
    <xf numFmtId="4" fontId="25" fillId="0" borderId="10" xfId="0" applyNumberFormat="1" applyFont="1" applyFill="1" applyBorder="1"/>
    <xf numFmtId="10" fontId="25" fillId="0" borderId="10" xfId="0" applyNumberFormat="1" applyFont="1" applyBorder="1" applyAlignment="1">
      <alignment horizontal="center" vertical="center" wrapText="1"/>
    </xf>
    <xf numFmtId="10" fontId="25" fillId="0" borderId="10" xfId="0" applyNumberFormat="1" applyFont="1" applyBorder="1" applyAlignment="1">
      <alignment horizontal="center" wrapText="1"/>
    </xf>
    <xf numFmtId="4" fontId="25" fillId="0" borderId="10" xfId="0" applyNumberFormat="1" applyFont="1" applyFill="1" applyBorder="1" applyAlignment="1">
      <alignment horizontal="center"/>
    </xf>
    <xf numFmtId="10" fontId="26" fillId="0" borderId="10" xfId="0" applyNumberFormat="1" applyFont="1" applyBorder="1" applyAlignment="1">
      <alignment horizontal="right" vertical="center"/>
    </xf>
    <xf numFmtId="4" fontId="26" fillId="0" borderId="10" xfId="0" applyNumberFormat="1" applyFont="1" applyBorder="1" applyAlignment="1">
      <alignment horizontal="right" vertical="center"/>
    </xf>
    <xf numFmtId="0" fontId="19" fillId="22" borderId="0" xfId="0" applyFont="1" applyFill="1"/>
    <xf numFmtId="49" fontId="25" fillId="0" borderId="10" xfId="0" applyNumberFormat="1" applyFont="1" applyBorder="1" applyAlignment="1">
      <alignment horizontal="center" vertical="center" wrapText="1"/>
    </xf>
    <xf numFmtId="49" fontId="25" fillId="0" borderId="12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164" fontId="19" fillId="0" borderId="0" xfId="0" applyNumberFormat="1" applyFont="1"/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0" fontId="25" fillId="0" borderId="0" xfId="0" applyFont="1" applyFill="1" applyBorder="1" applyAlignment="1">
      <alignment horizontal="left" vertical="center" wrapText="1"/>
    </xf>
    <xf numFmtId="164" fontId="26" fillId="0" borderId="0" xfId="0" applyNumberFormat="1" applyFont="1" applyBorder="1" applyAlignment="1">
      <alignment horizontal="left"/>
    </xf>
    <xf numFmtId="164" fontId="26" fillId="24" borderId="0" xfId="0" applyNumberFormat="1" applyFont="1" applyFill="1" applyBorder="1" applyAlignment="1">
      <alignment horizontal="left"/>
    </xf>
    <xf numFmtId="0" fontId="27" fillId="0" borderId="10" xfId="0" applyFont="1" applyFill="1" applyBorder="1" applyAlignment="1">
      <alignment horizontal="center" vertical="center"/>
    </xf>
    <xf numFmtId="10" fontId="31" fillId="0" borderId="10" xfId="0" applyNumberFormat="1" applyFont="1" applyFill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 wrapText="1"/>
    </xf>
    <xf numFmtId="0" fontId="40" fillId="25" borderId="10" xfId="0" applyFont="1" applyFill="1" applyBorder="1" applyAlignment="1">
      <alignment vertical="center" wrapText="1"/>
    </xf>
    <xf numFmtId="0" fontId="40" fillId="25" borderId="10" xfId="0" applyFont="1" applyFill="1" applyBorder="1" applyAlignment="1">
      <alignment horizontal="justify" vertical="center" wrapText="1"/>
    </xf>
    <xf numFmtId="10" fontId="49" fillId="0" borderId="10" xfId="0" applyNumberFormat="1" applyFont="1" applyFill="1" applyBorder="1" applyAlignment="1">
      <alignment horizontal="right" vertical="center"/>
    </xf>
    <xf numFmtId="169" fontId="31" fillId="0" borderId="10" xfId="0" applyNumberFormat="1" applyFont="1" applyFill="1" applyBorder="1" applyAlignment="1">
      <alignment horizontal="center" vertical="center"/>
    </xf>
    <xf numFmtId="10" fontId="31" fillId="0" borderId="10" xfId="0" applyNumberFormat="1" applyFont="1" applyFill="1" applyBorder="1" applyAlignment="1">
      <alignment horizontal="center" vertical="center" wrapText="1"/>
    </xf>
    <xf numFmtId="169" fontId="27" fillId="0" borderId="10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19" fillId="26" borderId="0" xfId="0" applyFont="1" applyFill="1"/>
    <xf numFmtId="164" fontId="0" fillId="0" borderId="0" xfId="44" applyFont="1" applyFill="1" applyBorder="1" applyAlignment="1" applyProtection="1">
      <alignment horizontal="right" vertical="center"/>
    </xf>
    <xf numFmtId="0" fontId="0" fillId="26" borderId="0" xfId="0" applyFill="1"/>
    <xf numFmtId="0" fontId="19" fillId="27" borderId="0" xfId="0" applyFont="1" applyFill="1"/>
    <xf numFmtId="0" fontId="19" fillId="0" borderId="0" xfId="0" quotePrefix="1" applyFont="1"/>
    <xf numFmtId="165" fontId="78" fillId="0" borderId="10" xfId="3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41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1" fillId="0" borderId="15" xfId="0" applyFont="1" applyBorder="1" applyAlignment="1">
      <alignment vertical="center" wrapText="1"/>
    </xf>
    <xf numFmtId="170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7" xfId="0" applyFont="1" applyFill="1" applyBorder="1" applyAlignment="1">
      <alignment horizontal="center" vertical="center"/>
    </xf>
    <xf numFmtId="1" fontId="0" fillId="0" borderId="17" xfId="0" applyNumberFormat="1" applyFont="1" applyFill="1" applyBorder="1" applyAlignment="1">
      <alignment horizontal="center" vertical="center"/>
    </xf>
    <xf numFmtId="164" fontId="62" fillId="0" borderId="17" xfId="44" applyFill="1" applyBorder="1" applyAlignment="1" applyProtection="1">
      <alignment horizontal="center" vertical="center"/>
    </xf>
    <xf numFmtId="0" fontId="0" fillId="0" borderId="17" xfId="0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4" fontId="0" fillId="0" borderId="17" xfId="44" applyNumberFormat="1" applyFont="1" applyFill="1" applyBorder="1" applyAlignment="1" applyProtection="1">
      <alignment horizontal="right" vertical="center"/>
    </xf>
    <xf numFmtId="0" fontId="0" fillId="26" borderId="0" xfId="0" applyFill="1" applyAlignment="1">
      <alignment vertical="center"/>
    </xf>
    <xf numFmtId="0" fontId="0" fillId="26" borderId="0" xfId="0" applyFill="1" applyAlignment="1">
      <alignment horizontal="center" vertical="center"/>
    </xf>
    <xf numFmtId="164" fontId="62" fillId="26" borderId="0" xfId="44" applyFont="1" applyFill="1" applyBorder="1" applyAlignment="1" applyProtection="1">
      <alignment horizontal="right" vertical="center"/>
    </xf>
    <xf numFmtId="4" fontId="0" fillId="26" borderId="0" xfId="0" applyNumberFormat="1" applyFill="1" applyAlignment="1">
      <alignment vertical="center"/>
    </xf>
    <xf numFmtId="0" fontId="0" fillId="26" borderId="15" xfId="0" applyFont="1" applyFill="1" applyBorder="1" applyAlignment="1">
      <alignment horizontal="center" vertical="center"/>
    </xf>
    <xf numFmtId="0" fontId="79" fillId="26" borderId="15" xfId="0" applyFont="1" applyFill="1" applyBorder="1" applyAlignment="1">
      <alignment horizontal="center" vertical="center"/>
    </xf>
    <xf numFmtId="170" fontId="0" fillId="26" borderId="15" xfId="0" applyNumberFormat="1" applyFont="1" applyFill="1" applyBorder="1" applyAlignment="1">
      <alignment horizontal="center" vertical="center"/>
    </xf>
    <xf numFmtId="0" fontId="0" fillId="26" borderId="17" xfId="0" applyFont="1" applyFill="1" applyBorder="1" applyAlignment="1">
      <alignment vertical="center" wrapText="1"/>
    </xf>
    <xf numFmtId="0" fontId="0" fillId="26" borderId="17" xfId="0" applyFont="1" applyFill="1" applyBorder="1" applyAlignment="1">
      <alignment horizontal="center" vertical="center"/>
    </xf>
    <xf numFmtId="0" fontId="79" fillId="26" borderId="17" xfId="0" applyFont="1" applyFill="1" applyBorder="1" applyAlignment="1">
      <alignment horizontal="center" vertical="center"/>
    </xf>
    <xf numFmtId="170" fontId="0" fillId="26" borderId="17" xfId="0" applyNumberFormat="1" applyFont="1" applyFill="1" applyBorder="1" applyAlignment="1">
      <alignment horizontal="center" vertical="center"/>
    </xf>
    <xf numFmtId="4" fontId="25" fillId="26" borderId="0" xfId="0" applyNumberFormat="1" applyFont="1" applyFill="1" applyAlignment="1">
      <alignment vertical="center"/>
    </xf>
    <xf numFmtId="4" fontId="38" fillId="26" borderId="0" xfId="0" applyNumberFormat="1" applyFont="1" applyFill="1" applyAlignment="1">
      <alignment horizontal="right" vertical="center"/>
    </xf>
    <xf numFmtId="0" fontId="80" fillId="26" borderId="17" xfId="0" applyFont="1" applyFill="1" applyBorder="1" applyAlignment="1">
      <alignment vertical="center" wrapText="1"/>
    </xf>
    <xf numFmtId="0" fontId="79" fillId="0" borderId="17" xfId="0" applyFont="1" applyFill="1" applyBorder="1" applyAlignment="1">
      <alignment horizontal="center" vertical="center"/>
    </xf>
    <xf numFmtId="170" fontId="0" fillId="0" borderId="17" xfId="0" applyNumberFormat="1" applyFont="1" applyFill="1" applyBorder="1" applyAlignment="1">
      <alignment horizontal="center" vertical="center"/>
    </xf>
    <xf numFmtId="164" fontId="62" fillId="0" borderId="15" xfId="44" applyFill="1" applyBorder="1" applyAlignment="1" applyProtection="1">
      <alignment horizontal="right" vertical="center"/>
    </xf>
    <xf numFmtId="4" fontId="62" fillId="0" borderId="10" xfId="44" applyNumberFormat="1" applyBorder="1" applyAlignment="1">
      <alignment horizontal="right" vertical="center" wrapText="1"/>
    </xf>
    <xf numFmtId="4" fontId="25" fillId="26" borderId="10" xfId="0" applyNumberFormat="1" applyFont="1" applyFill="1" applyBorder="1" applyAlignment="1">
      <alignment horizontal="right" vertical="center"/>
    </xf>
    <xf numFmtId="4" fontId="25" fillId="26" borderId="10" xfId="0" applyNumberFormat="1" applyFont="1" applyFill="1" applyBorder="1" applyAlignment="1">
      <alignment horizontal="right" vertical="center" wrapText="1"/>
    </xf>
    <xf numFmtId="164" fontId="62" fillId="26" borderId="0" xfId="44" applyFont="1" applyFill="1" applyBorder="1" applyAlignment="1" applyProtection="1">
      <alignment horizontal="right" vertical="center"/>
    </xf>
    <xf numFmtId="164" fontId="75" fillId="0" borderId="0" xfId="44" applyFont="1"/>
    <xf numFmtId="164" fontId="75" fillId="0" borderId="0" xfId="44" applyFont="1" applyAlignment="1">
      <alignment vertical="center"/>
    </xf>
    <xf numFmtId="4" fontId="25" fillId="28" borderId="15" xfId="0" applyNumberFormat="1" applyFont="1" applyFill="1" applyBorder="1" applyAlignment="1">
      <alignment vertical="center"/>
    </xf>
    <xf numFmtId="164" fontId="25" fillId="28" borderId="15" xfId="44" applyFont="1" applyFill="1" applyBorder="1" applyAlignment="1" applyProtection="1">
      <alignment vertical="center"/>
    </xf>
    <xf numFmtId="164" fontId="62" fillId="26" borderId="0" xfId="44" applyFont="1" applyFill="1" applyBorder="1" applyAlignment="1" applyProtection="1">
      <alignment horizontal="right" vertical="center"/>
    </xf>
    <xf numFmtId="0" fontId="0" fillId="26" borderId="18" xfId="0" applyFill="1" applyBorder="1" applyAlignment="1">
      <alignment vertical="center"/>
    </xf>
    <xf numFmtId="0" fontId="0" fillId="26" borderId="19" xfId="0" applyFill="1" applyBorder="1" applyAlignment="1">
      <alignment vertical="center"/>
    </xf>
    <xf numFmtId="0" fontId="0" fillId="26" borderId="0" xfId="0" applyFill="1" applyBorder="1" applyAlignment="1">
      <alignment vertical="center"/>
    </xf>
    <xf numFmtId="0" fontId="0" fillId="26" borderId="20" xfId="0" applyFill="1" applyBorder="1" applyAlignment="1">
      <alignment vertical="center"/>
    </xf>
    <xf numFmtId="0" fontId="0" fillId="26" borderId="21" xfId="0" applyFill="1" applyBorder="1" applyAlignment="1">
      <alignment vertical="center"/>
    </xf>
    <xf numFmtId="0" fontId="0" fillId="26" borderId="22" xfId="0" applyFill="1" applyBorder="1" applyAlignment="1">
      <alignment vertical="center"/>
    </xf>
    <xf numFmtId="0" fontId="74" fillId="28" borderId="19" xfId="0" applyFont="1" applyFill="1" applyBorder="1" applyAlignment="1">
      <alignment horizontal="center" vertical="center" wrapText="1"/>
    </xf>
    <xf numFmtId="164" fontId="25" fillId="28" borderId="19" xfId="44" applyFont="1" applyFill="1" applyBorder="1" applyAlignment="1" applyProtection="1">
      <alignment vertical="center"/>
    </xf>
    <xf numFmtId="164" fontId="33" fillId="28" borderId="19" xfId="44" applyFont="1" applyFill="1" applyBorder="1" applyAlignment="1" applyProtection="1">
      <alignment vertical="center"/>
    </xf>
    <xf numFmtId="4" fontId="25" fillId="26" borderId="21" xfId="0" applyNumberFormat="1" applyFont="1" applyFill="1" applyBorder="1" applyAlignment="1">
      <alignment vertical="center"/>
    </xf>
    <xf numFmtId="4" fontId="38" fillId="26" borderId="21" xfId="0" applyNumberFormat="1" applyFont="1" applyFill="1" applyBorder="1" applyAlignment="1">
      <alignment horizontal="right" vertical="center"/>
    </xf>
    <xf numFmtId="164" fontId="62" fillId="26" borderId="21" xfId="44" applyFont="1" applyFill="1" applyBorder="1" applyAlignment="1" applyProtection="1">
      <alignment horizontal="right" vertical="center"/>
    </xf>
    <xf numFmtId="4" fontId="25" fillId="29" borderId="15" xfId="31" applyNumberFormat="1" applyFont="1" applyFill="1" applyBorder="1" applyAlignment="1" applyProtection="1">
      <alignment horizontal="right" vertical="center"/>
    </xf>
    <xf numFmtId="4" fontId="25" fillId="29" borderId="15" xfId="44" applyNumberFormat="1" applyFont="1" applyFill="1" applyBorder="1" applyAlignment="1" applyProtection="1">
      <alignment horizontal="right" vertical="center"/>
    </xf>
    <xf numFmtId="4" fontId="25" fillId="29" borderId="23" xfId="0" applyNumberFormat="1" applyFont="1" applyFill="1" applyBorder="1" applyAlignment="1">
      <alignment vertical="center"/>
    </xf>
    <xf numFmtId="4" fontId="25" fillId="29" borderId="15" xfId="0" applyNumberFormat="1" applyFont="1" applyFill="1" applyBorder="1" applyAlignment="1">
      <alignment vertical="center"/>
    </xf>
    <xf numFmtId="0" fontId="0" fillId="26" borderId="18" xfId="0" applyFont="1" applyFill="1" applyBorder="1" applyAlignment="1">
      <alignment vertical="center"/>
    </xf>
    <xf numFmtId="0" fontId="0" fillId="26" borderId="0" xfId="0" applyFont="1" applyFill="1" applyBorder="1" applyAlignment="1">
      <alignment vertical="center"/>
    </xf>
    <xf numFmtId="0" fontId="0" fillId="26" borderId="19" xfId="0" applyFont="1" applyFill="1" applyBorder="1" applyAlignment="1">
      <alignment vertical="center"/>
    </xf>
    <xf numFmtId="0" fontId="25" fillId="29" borderId="24" xfId="0" applyFont="1" applyFill="1" applyBorder="1" applyAlignment="1">
      <alignment horizontal="center" vertical="center" wrapText="1"/>
    </xf>
    <xf numFmtId="164" fontId="25" fillId="29" borderId="24" xfId="44" applyFont="1" applyFill="1" applyBorder="1" applyAlignment="1" applyProtection="1">
      <alignment horizontal="center" vertical="center" wrapText="1"/>
    </xf>
    <xf numFmtId="4" fontId="25" fillId="29" borderId="23" xfId="44" applyNumberFormat="1" applyFont="1" applyFill="1" applyBorder="1" applyAlignment="1" applyProtection="1">
      <alignment horizontal="right" vertical="center"/>
    </xf>
    <xf numFmtId="164" fontId="25" fillId="29" borderId="15" xfId="44" applyFont="1" applyFill="1" applyBorder="1" applyAlignment="1" applyProtection="1">
      <alignment vertical="center"/>
    </xf>
    <xf numFmtId="0" fontId="37" fillId="29" borderId="15" xfId="0" applyFont="1" applyFill="1" applyBorder="1" applyAlignment="1">
      <alignment horizontal="left" vertical="center" wrapText="1"/>
    </xf>
    <xf numFmtId="0" fontId="37" fillId="29" borderId="15" xfId="0" applyFont="1" applyFill="1" applyBorder="1" applyAlignment="1">
      <alignment horizontal="center" vertical="center"/>
    </xf>
    <xf numFmtId="0" fontId="37" fillId="29" borderId="15" xfId="0" applyFont="1" applyFill="1" applyBorder="1" applyAlignment="1">
      <alignment horizontal="center" vertical="center" wrapText="1"/>
    </xf>
    <xf numFmtId="9" fontId="25" fillId="30" borderId="10" xfId="0" applyNumberFormat="1" applyFont="1" applyFill="1" applyBorder="1" applyAlignment="1">
      <alignment horizontal="left" vertical="center" wrapText="1"/>
    </xf>
    <xf numFmtId="167" fontId="25" fillId="30" borderId="10" xfId="0" applyNumberFormat="1" applyFont="1" applyFill="1" applyBorder="1" applyAlignment="1">
      <alignment horizontal="left" vertical="center" wrapText="1"/>
    </xf>
    <xf numFmtId="166" fontId="26" fillId="30" borderId="10" xfId="0" applyNumberFormat="1" applyFont="1" applyFill="1" applyBorder="1" applyAlignment="1">
      <alignment vertical="center"/>
    </xf>
    <xf numFmtId="4" fontId="25" fillId="30" borderId="10" xfId="0" applyNumberFormat="1" applyFont="1" applyFill="1" applyBorder="1" applyAlignment="1">
      <alignment horizontal="right" vertical="center"/>
    </xf>
    <xf numFmtId="10" fontId="25" fillId="30" borderId="10" xfId="0" applyNumberFormat="1" applyFont="1" applyFill="1" applyBorder="1" applyAlignment="1">
      <alignment horizontal="right" vertical="center"/>
    </xf>
    <xf numFmtId="10" fontId="25" fillId="30" borderId="10" xfId="0" applyNumberFormat="1" applyFont="1" applyFill="1" applyBorder="1" applyAlignment="1">
      <alignment horizontal="right" vertical="center" wrapText="1"/>
    </xf>
    <xf numFmtId="164" fontId="62" fillId="30" borderId="15" xfId="44" applyFill="1" applyBorder="1" applyAlignment="1" applyProtection="1">
      <alignment horizontal="center" vertical="center"/>
    </xf>
    <xf numFmtId="164" fontId="62" fillId="30" borderId="15" xfId="44" applyFill="1" applyBorder="1" applyAlignment="1" applyProtection="1">
      <alignment horizontal="right" vertical="center"/>
    </xf>
    <xf numFmtId="164" fontId="62" fillId="30" borderId="17" xfId="44" applyFill="1" applyBorder="1" applyAlignment="1" applyProtection="1">
      <alignment horizontal="center" vertical="center"/>
    </xf>
    <xf numFmtId="164" fontId="62" fillId="30" borderId="17" xfId="44" applyFont="1" applyFill="1" applyBorder="1" applyAlignment="1" applyProtection="1">
      <alignment horizontal="right" vertical="center"/>
    </xf>
    <xf numFmtId="0" fontId="76" fillId="26" borderId="0" xfId="0" applyFont="1" applyFill="1" applyAlignment="1">
      <alignment vertical="top" wrapText="1"/>
    </xf>
    <xf numFmtId="0" fontId="0" fillId="26" borderId="0" xfId="0" applyFill="1" applyAlignment="1">
      <alignment horizontal="left" vertical="top" wrapText="1"/>
    </xf>
    <xf numFmtId="0" fontId="0" fillId="26" borderId="0" xfId="0" applyFont="1" applyFill="1"/>
    <xf numFmtId="0" fontId="0" fillId="27" borderId="0" xfId="0" applyFont="1" applyFill="1"/>
    <xf numFmtId="0" fontId="0" fillId="30" borderId="0" xfId="0" applyFont="1" applyFill="1"/>
    <xf numFmtId="0" fontId="0" fillId="31" borderId="0" xfId="0" applyFont="1" applyFill="1"/>
    <xf numFmtId="0" fontId="76" fillId="30" borderId="0" xfId="0" applyFont="1" applyFill="1" applyAlignment="1">
      <alignment vertical="top" wrapText="1"/>
    </xf>
    <xf numFmtId="0" fontId="19" fillId="30" borderId="0" xfId="0" applyFont="1" applyFill="1"/>
    <xf numFmtId="4" fontId="0" fillId="0" borderId="0" xfId="0" applyNumberFormat="1"/>
    <xf numFmtId="171" fontId="1" fillId="0" borderId="0" xfId="34" applyNumberFormat="1"/>
    <xf numFmtId="0" fontId="25" fillId="32" borderId="15" xfId="44" applyNumberFormat="1" applyFont="1" applyFill="1" applyBorder="1" applyAlignment="1" applyProtection="1">
      <alignment horizontal="center" vertical="center"/>
    </xf>
    <xf numFmtId="0" fontId="25" fillId="33" borderId="15" xfId="44" applyNumberFormat="1" applyFont="1" applyFill="1" applyBorder="1" applyAlignment="1" applyProtection="1">
      <alignment horizontal="center" vertical="center"/>
    </xf>
    <xf numFmtId="43" fontId="19" fillId="0" borderId="0" xfId="0" applyNumberFormat="1" applyFont="1"/>
    <xf numFmtId="164" fontId="62" fillId="0" borderId="0" xfId="44"/>
    <xf numFmtId="0" fontId="25" fillId="22" borderId="25" xfId="0" applyFont="1" applyFill="1" applyBorder="1" applyAlignment="1">
      <alignment horizontal="center" vertical="center" wrapText="1"/>
    </xf>
    <xf numFmtId="3" fontId="25" fillId="0" borderId="26" xfId="0" applyNumberFormat="1" applyFont="1" applyBorder="1" applyAlignment="1">
      <alignment horizontal="center" vertical="center" wrapText="1"/>
    </xf>
    <xf numFmtId="3" fontId="25" fillId="0" borderId="27" xfId="0" applyNumberFormat="1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center"/>
    </xf>
    <xf numFmtId="0" fontId="25" fillId="0" borderId="12" xfId="0" applyFont="1" applyBorder="1" applyAlignment="1">
      <alignment horizontal="justify" vertical="top"/>
    </xf>
    <xf numFmtId="0" fontId="25" fillId="30" borderId="10" xfId="0" applyFont="1" applyFill="1" applyBorder="1" applyAlignment="1">
      <alignment horizontal="justify" wrapText="1"/>
    </xf>
    <xf numFmtId="0" fontId="25" fillId="30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4" fillId="30" borderId="10" xfId="0" applyFont="1" applyFill="1" applyBorder="1" applyAlignment="1">
      <alignment horizontal="center"/>
    </xf>
    <xf numFmtId="0" fontId="25" fillId="30" borderId="10" xfId="0" applyFont="1" applyFill="1" applyBorder="1" applyAlignment="1">
      <alignment horizontal="left"/>
    </xf>
    <xf numFmtId="0" fontId="25" fillId="0" borderId="10" xfId="0" applyFont="1" applyBorder="1" applyAlignment="1">
      <alignment horizontal="justify" vertical="top"/>
    </xf>
    <xf numFmtId="0" fontId="25" fillId="0" borderId="11" xfId="0" applyFont="1" applyBorder="1" applyAlignment="1">
      <alignment horizontal="center" vertical="center"/>
    </xf>
    <xf numFmtId="0" fontId="25" fillId="30" borderId="10" xfId="0" applyFont="1" applyFill="1" applyBorder="1" applyAlignment="1">
      <alignment horizontal="center"/>
    </xf>
    <xf numFmtId="0" fontId="39" fillId="0" borderId="10" xfId="0" applyFont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 wrapText="1"/>
    </xf>
    <xf numFmtId="0" fontId="39" fillId="25" borderId="13" xfId="0" applyFont="1" applyFill="1" applyBorder="1" applyAlignment="1">
      <alignment horizontal="left" vertical="center" wrapText="1"/>
    </xf>
    <xf numFmtId="0" fontId="39" fillId="0" borderId="10" xfId="0" applyFont="1" applyBorder="1" applyAlignment="1">
      <alignment horizontal="justify" vertical="center" wrapText="1"/>
    </xf>
    <xf numFmtId="166" fontId="55" fillId="0" borderId="10" xfId="0" applyNumberFormat="1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justify" vertical="center" wrapText="1"/>
    </xf>
    <xf numFmtId="49" fontId="25" fillId="22" borderId="12" xfId="0" applyNumberFormat="1" applyFont="1" applyFill="1" applyBorder="1" applyAlignment="1">
      <alignment horizontal="right" vertical="center" wrapText="1"/>
    </xf>
    <xf numFmtId="0" fontId="19" fillId="0" borderId="30" xfId="0" applyFont="1" applyFill="1" applyBorder="1" applyAlignment="1">
      <alignment horizontal="justify" vertical="center" wrapText="1"/>
    </xf>
    <xf numFmtId="0" fontId="25" fillId="25" borderId="10" xfId="0" applyFont="1" applyFill="1" applyBorder="1" applyAlignment="1">
      <alignment horizontal="left"/>
    </xf>
    <xf numFmtId="0" fontId="39" fillId="0" borderId="10" xfId="0" applyFont="1" applyFill="1" applyBorder="1" applyAlignment="1">
      <alignment horizontal="left" vertical="center" wrapText="1"/>
    </xf>
    <xf numFmtId="166" fontId="55" fillId="0" borderId="10" xfId="0" applyNumberFormat="1" applyFont="1" applyFill="1" applyBorder="1" applyAlignment="1">
      <alignment horizontal="center" vertical="center" wrapText="1"/>
    </xf>
    <xf numFmtId="0" fontId="39" fillId="25" borderId="31" xfId="0" applyFont="1" applyFill="1" applyBorder="1" applyAlignment="1">
      <alignment horizontal="center"/>
    </xf>
    <xf numFmtId="0" fontId="25" fillId="0" borderId="45" xfId="0" applyFont="1" applyBorder="1" applyAlignment="1">
      <alignment horizontal="left" vertical="center" wrapText="1"/>
    </xf>
    <xf numFmtId="0" fontId="54" fillId="25" borderId="12" xfId="0" applyFont="1" applyFill="1" applyBorder="1" applyAlignment="1">
      <alignment vertical="center"/>
    </xf>
    <xf numFmtId="0" fontId="19" fillId="0" borderId="10" xfId="0" applyFont="1" applyFill="1" applyBorder="1" applyAlignment="1">
      <alignment horizontal="left" vertical="center" wrapText="1"/>
    </xf>
    <xf numFmtId="0" fontId="25" fillId="25" borderId="10" xfId="0" applyFont="1" applyFill="1" applyBorder="1" applyAlignment="1">
      <alignment horizontal="right" vertical="center"/>
    </xf>
    <xf numFmtId="0" fontId="37" fillId="0" borderId="10" xfId="0" applyFont="1" applyBorder="1" applyAlignment="1">
      <alignment horizontal="left" vertical="center" wrapText="1"/>
    </xf>
    <xf numFmtId="0" fontId="27" fillId="22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right" vertical="center" wrapText="1"/>
    </xf>
    <xf numFmtId="0" fontId="26" fillId="0" borderId="3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lef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32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justify" vertical="center" wrapText="1"/>
    </xf>
    <xf numFmtId="0" fontId="25" fillId="0" borderId="12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left" vertical="center" wrapText="1"/>
    </xf>
    <xf numFmtId="0" fontId="25" fillId="22" borderId="10" xfId="0" applyFont="1" applyFill="1" applyBorder="1" applyAlignment="1">
      <alignment horizontal="right" vertical="center"/>
    </xf>
    <xf numFmtId="0" fontId="27" fillId="0" borderId="10" xfId="0" applyFont="1" applyBorder="1" applyAlignment="1">
      <alignment horizontal="left" vertical="center"/>
    </xf>
    <xf numFmtId="0" fontId="26" fillId="0" borderId="10" xfId="0" applyFont="1" applyFill="1" applyBorder="1" applyAlignment="1">
      <alignment horizontal="justify" vertical="center" wrapText="1"/>
    </xf>
    <xf numFmtId="0" fontId="37" fillId="0" borderId="10" xfId="0" applyFont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horizontal="left" vertical="center"/>
    </xf>
    <xf numFmtId="0" fontId="37" fillId="0" borderId="10" xfId="0" applyFont="1" applyFill="1" applyBorder="1" applyAlignment="1">
      <alignment horizontal="left" vertical="center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 wrapText="1"/>
    </xf>
    <xf numFmtId="0" fontId="39" fillId="25" borderId="10" xfId="0" applyFont="1" applyFill="1" applyBorder="1" applyAlignment="1">
      <alignment horizontal="center" vertical="center"/>
    </xf>
    <xf numFmtId="0" fontId="31" fillId="22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left" vertical="center"/>
    </xf>
    <xf numFmtId="0" fontId="32" fillId="22" borderId="10" xfId="0" applyFont="1" applyFill="1" applyBorder="1" applyAlignment="1">
      <alignment horizontal="right"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right" vertical="center"/>
    </xf>
    <xf numFmtId="0" fontId="48" fillId="25" borderId="10" xfId="0" applyFont="1" applyFill="1" applyBorder="1" applyAlignment="1">
      <alignment horizontal="right" vertical="center"/>
    </xf>
    <xf numFmtId="0" fontId="30" fillId="0" borderId="10" xfId="0" applyFont="1" applyFill="1" applyBorder="1" applyAlignment="1">
      <alignment horizontal="left" vertical="center"/>
    </xf>
    <xf numFmtId="0" fontId="81" fillId="0" borderId="46" xfId="0" applyFont="1" applyBorder="1" applyAlignment="1">
      <alignment horizontal="left" vertical="center" wrapText="1"/>
    </xf>
    <xf numFmtId="49" fontId="82" fillId="0" borderId="47" xfId="0" applyNumberFormat="1" applyFont="1" applyBorder="1" applyAlignment="1">
      <alignment horizontal="left" vertical="top" wrapText="1"/>
    </xf>
    <xf numFmtId="49" fontId="82" fillId="0" borderId="48" xfId="0" applyNumberFormat="1" applyFont="1" applyBorder="1" applyAlignment="1">
      <alignment horizontal="left" vertical="top" wrapText="1"/>
    </xf>
    <xf numFmtId="49" fontId="82" fillId="0" borderId="49" xfId="0" applyNumberFormat="1" applyFont="1" applyBorder="1" applyAlignment="1">
      <alignment horizontal="left" vertical="top" wrapText="1"/>
    </xf>
    <xf numFmtId="0" fontId="81" fillId="0" borderId="47" xfId="0" applyFont="1" applyBorder="1" applyAlignment="1">
      <alignment horizontal="left" vertical="center" wrapText="1"/>
    </xf>
    <xf numFmtId="0" fontId="81" fillId="0" borderId="48" xfId="0" applyFont="1" applyBorder="1" applyAlignment="1">
      <alignment horizontal="left" vertical="center" wrapText="1"/>
    </xf>
    <xf numFmtId="0" fontId="81" fillId="0" borderId="49" xfId="0" applyFont="1" applyBorder="1" applyAlignment="1">
      <alignment horizontal="left" vertical="center" wrapText="1"/>
    </xf>
    <xf numFmtId="0" fontId="25" fillId="0" borderId="5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right" vertical="center"/>
    </xf>
    <xf numFmtId="0" fontId="27" fillId="25" borderId="10" xfId="0" applyFont="1" applyFill="1" applyBorder="1" applyAlignment="1">
      <alignment horizontal="justify" vertical="center" wrapText="1"/>
    </xf>
    <xf numFmtId="0" fontId="44" fillId="25" borderId="10" xfId="0" applyFont="1" applyFill="1" applyBorder="1" applyAlignment="1">
      <alignment horizontal="justify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36" fillId="0" borderId="10" xfId="0" applyFont="1" applyFill="1" applyBorder="1" applyAlignment="1">
      <alignment horizontal="justify" vertical="center" wrapText="1"/>
    </xf>
    <xf numFmtId="0" fontId="27" fillId="0" borderId="10" xfId="0" applyFont="1" applyFill="1" applyBorder="1" applyAlignment="1">
      <alignment horizontal="justify" vertical="center" wrapText="1"/>
    </xf>
    <xf numFmtId="0" fontId="25" fillId="0" borderId="10" xfId="0" applyFont="1" applyFill="1" applyBorder="1" applyAlignment="1">
      <alignment horizontal="left" vertical="center"/>
    </xf>
    <xf numFmtId="0" fontId="31" fillId="22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22" borderId="10" xfId="0" applyFont="1" applyFill="1" applyBorder="1" applyAlignment="1">
      <alignment horizontal="right" vertical="center" wrapText="1"/>
    </xf>
    <xf numFmtId="0" fontId="48" fillId="25" borderId="10" xfId="0" applyFont="1" applyFill="1" applyBorder="1" applyAlignment="1">
      <alignment horizontal="center" vertical="center" wrapText="1"/>
    </xf>
    <xf numFmtId="0" fontId="25" fillId="22" borderId="12" xfId="0" applyFont="1" applyFill="1" applyBorder="1" applyAlignment="1">
      <alignment horizontal="right" vertical="center"/>
    </xf>
    <xf numFmtId="0" fontId="25" fillId="25" borderId="10" xfId="0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left" vertical="center" wrapText="1"/>
    </xf>
    <xf numFmtId="0" fontId="25" fillId="25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32" fillId="22" borderId="10" xfId="0" applyFont="1" applyFill="1" applyBorder="1" applyAlignment="1">
      <alignment horizontal="right" vertical="center"/>
    </xf>
    <xf numFmtId="0" fontId="36" fillId="25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horizontal="justify" vertical="center" wrapText="1"/>
    </xf>
    <xf numFmtId="0" fontId="32" fillId="25" borderId="10" xfId="0" applyFont="1" applyFill="1" applyBorder="1" applyAlignment="1">
      <alignment horizontal="right" vertical="center" wrapText="1"/>
    </xf>
    <xf numFmtId="0" fontId="31" fillId="22" borderId="10" xfId="0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justify" vertical="center" wrapText="1"/>
    </xf>
    <xf numFmtId="10" fontId="26" fillId="0" borderId="10" xfId="0" applyNumberFormat="1" applyFont="1" applyFill="1" applyBorder="1" applyAlignment="1">
      <alignment horizontal="left" vertical="center" wrapText="1"/>
    </xf>
    <xf numFmtId="10" fontId="60" fillId="0" borderId="10" xfId="0" applyNumberFormat="1" applyFont="1" applyFill="1" applyBorder="1" applyAlignment="1">
      <alignment horizontal="left" vertical="center" wrapText="1"/>
    </xf>
    <xf numFmtId="0" fontId="27" fillId="22" borderId="10" xfId="0" applyFont="1" applyFill="1" applyBorder="1" applyAlignment="1">
      <alignment horizontal="justify" vertical="center" wrapText="1"/>
    </xf>
    <xf numFmtId="0" fontId="39" fillId="22" borderId="10" xfId="0" applyFont="1" applyFill="1" applyBorder="1" applyAlignment="1">
      <alignment horizontal="justify" vertical="center" wrapText="1"/>
    </xf>
    <xf numFmtId="0" fontId="25" fillId="25" borderId="10" xfId="0" applyFont="1" applyFill="1" applyBorder="1" applyAlignment="1">
      <alignment horizontal="right" vertical="center" wrapText="1"/>
    </xf>
    <xf numFmtId="0" fontId="41" fillId="0" borderId="10" xfId="0" applyFont="1" applyFill="1" applyBorder="1" applyAlignment="1">
      <alignment horizontal="justify" vertical="center" wrapText="1"/>
    </xf>
    <xf numFmtId="0" fontId="25" fillId="25" borderId="10" xfId="0" applyFont="1" applyFill="1" applyBorder="1" applyAlignment="1">
      <alignment horizontal="left" wrapText="1"/>
    </xf>
    <xf numFmtId="0" fontId="37" fillId="0" borderId="10" xfId="0" applyFont="1" applyFill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/>
    </xf>
    <xf numFmtId="4" fontId="26" fillId="0" borderId="10" xfId="0" applyNumberFormat="1" applyFont="1" applyFill="1" applyBorder="1" applyAlignment="1">
      <alignment horizontal="right" vertical="center" wrapText="1"/>
    </xf>
    <xf numFmtId="4" fontId="33" fillId="0" borderId="10" xfId="0" applyNumberFormat="1" applyFont="1" applyFill="1" applyBorder="1" applyAlignment="1">
      <alignment horizontal="right" vertical="center" wrapText="1"/>
    </xf>
    <xf numFmtId="4" fontId="33" fillId="0" borderId="10" xfId="0" applyNumberFormat="1" applyFont="1" applyFill="1" applyBorder="1" applyAlignment="1">
      <alignment horizontal="right" vertical="center"/>
    </xf>
    <xf numFmtId="166" fontId="33" fillId="30" borderId="10" xfId="0" applyNumberFormat="1" applyFont="1" applyFill="1" applyBorder="1" applyAlignment="1" applyProtection="1">
      <alignment horizontal="right" vertical="center"/>
      <protection locked="0"/>
    </xf>
    <xf numFmtId="14" fontId="34" fillId="0" borderId="10" xfId="0" applyNumberFormat="1" applyFont="1" applyFill="1" applyBorder="1" applyAlignment="1">
      <alignment horizontal="right" vertical="center" wrapText="1"/>
    </xf>
    <xf numFmtId="14" fontId="35" fillId="30" borderId="10" xfId="0" applyNumberFormat="1" applyFont="1" applyFill="1" applyBorder="1" applyAlignment="1">
      <alignment horizontal="right" vertical="center" wrapText="1"/>
    </xf>
    <xf numFmtId="0" fontId="25" fillId="0" borderId="0" xfId="0" applyFont="1" applyBorder="1" applyAlignment="1">
      <alignment horizontal="center" vertical="center" wrapText="1"/>
    </xf>
    <xf numFmtId="166" fontId="26" fillId="0" borderId="10" xfId="0" applyNumberFormat="1" applyFont="1" applyFill="1" applyBorder="1" applyAlignment="1">
      <alignment horizontal="center" vertical="center" wrapText="1"/>
    </xf>
    <xf numFmtId="166" fontId="32" fillId="0" borderId="10" xfId="0" applyNumberFormat="1" applyFont="1" applyFill="1" applyBorder="1" applyAlignment="1">
      <alignment horizontal="right" vertical="center" wrapText="1"/>
    </xf>
    <xf numFmtId="0" fontId="27" fillId="25" borderId="10" xfId="0" applyFont="1" applyFill="1" applyBorder="1" applyAlignment="1">
      <alignment horizontal="left" wrapText="1"/>
    </xf>
    <xf numFmtId="0" fontId="26" fillId="22" borderId="10" xfId="0" applyFont="1" applyFill="1" applyBorder="1" applyAlignment="1">
      <alignment horizontal="right" vertical="center" wrapText="1"/>
    </xf>
    <xf numFmtId="1" fontId="26" fillId="22" borderId="10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justify" vertical="center" wrapText="1"/>
    </xf>
    <xf numFmtId="0" fontId="29" fillId="0" borderId="10" xfId="0" applyFont="1" applyFill="1" applyBorder="1" applyAlignment="1">
      <alignment horizontal="left" wrapText="1"/>
    </xf>
    <xf numFmtId="0" fontId="25" fillId="22" borderId="10" xfId="0" applyFont="1" applyFill="1" applyBorder="1" applyAlignment="1">
      <alignment horizontal="left" vertical="center" wrapText="1"/>
    </xf>
    <xf numFmtId="0" fontId="25" fillId="22" borderId="10" xfId="0" applyFont="1" applyFill="1" applyBorder="1" applyAlignment="1">
      <alignment horizontal="center" vertical="center" wrapText="1"/>
    </xf>
    <xf numFmtId="1" fontId="25" fillId="22" borderId="10" xfId="0" applyNumberFormat="1" applyFont="1" applyFill="1" applyBorder="1" applyAlignment="1">
      <alignment horizontal="center" vertical="center" wrapText="1"/>
    </xf>
    <xf numFmtId="1" fontId="25" fillId="0" borderId="10" xfId="0" applyNumberFormat="1" applyFont="1" applyBorder="1" applyAlignment="1">
      <alignment horizontal="center" vertical="center" wrapText="1"/>
    </xf>
    <xf numFmtId="0" fontId="26" fillId="30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5" fillId="22" borderId="12" xfId="0" applyFont="1" applyFill="1" applyBorder="1" applyAlignment="1">
      <alignment horizontal="center" vertical="center" wrapText="1"/>
    </xf>
    <xf numFmtId="0" fontId="25" fillId="22" borderId="10" xfId="0" applyNumberFormat="1" applyFont="1" applyFill="1" applyBorder="1" applyAlignment="1">
      <alignment horizontal="center" vertical="center" wrapText="1"/>
    </xf>
    <xf numFmtId="14" fontId="26" fillId="30" borderId="10" xfId="0" applyNumberFormat="1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20" fillId="26" borderId="0" xfId="0" applyFont="1" applyFill="1" applyBorder="1" applyAlignment="1">
      <alignment horizontal="center" vertical="center" wrapText="1"/>
    </xf>
    <xf numFmtId="0" fontId="21" fillId="26" borderId="0" xfId="0" applyFont="1" applyFill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 wrapText="1"/>
    </xf>
    <xf numFmtId="0" fontId="32" fillId="0" borderId="13" xfId="0" applyFont="1" applyBorder="1" applyAlignment="1">
      <alignment horizontal="left" vertical="center" wrapText="1"/>
    </xf>
    <xf numFmtId="0" fontId="32" fillId="0" borderId="14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 wrapText="1"/>
    </xf>
    <xf numFmtId="0" fontId="25" fillId="26" borderId="0" xfId="0" applyFont="1" applyFill="1" applyBorder="1" applyAlignment="1">
      <alignment horizontal="center" vertical="center"/>
    </xf>
    <xf numFmtId="0" fontId="25" fillId="29" borderId="15" xfId="0" applyFont="1" applyFill="1" applyBorder="1" applyAlignment="1">
      <alignment horizontal="right" vertical="center"/>
    </xf>
    <xf numFmtId="0" fontId="25" fillId="29" borderId="23" xfId="0" applyFont="1" applyFill="1" applyBorder="1" applyAlignment="1">
      <alignment horizontal="right" vertical="center"/>
    </xf>
    <xf numFmtId="4" fontId="25" fillId="29" borderId="15" xfId="0" applyNumberFormat="1" applyFont="1" applyFill="1" applyBorder="1" applyAlignment="1">
      <alignment horizontal="right" vertical="center"/>
    </xf>
    <xf numFmtId="4" fontId="25" fillId="28" borderId="15" xfId="0" applyNumberFormat="1" applyFont="1" applyFill="1" applyBorder="1" applyAlignment="1">
      <alignment horizontal="right" vertical="center"/>
    </xf>
    <xf numFmtId="0" fontId="77" fillId="29" borderId="33" xfId="0" applyFont="1" applyFill="1" applyBorder="1" applyAlignment="1">
      <alignment horizontal="center" vertical="center" wrapText="1"/>
    </xf>
    <xf numFmtId="0" fontId="77" fillId="29" borderId="34" xfId="0" applyFont="1" applyFill="1" applyBorder="1" applyAlignment="1">
      <alignment horizontal="center" vertical="center" wrapText="1"/>
    </xf>
    <xf numFmtId="0" fontId="77" fillId="29" borderId="35" xfId="0" applyFont="1" applyFill="1" applyBorder="1" applyAlignment="1">
      <alignment horizontal="center" vertical="center" wrapText="1"/>
    </xf>
    <xf numFmtId="0" fontId="77" fillId="29" borderId="18" xfId="0" applyFont="1" applyFill="1" applyBorder="1" applyAlignment="1">
      <alignment horizontal="center" vertical="center" wrapText="1"/>
    </xf>
    <xf numFmtId="0" fontId="77" fillId="29" borderId="0" xfId="0" applyFont="1" applyFill="1" applyBorder="1" applyAlignment="1">
      <alignment horizontal="center" vertical="center" wrapText="1"/>
    </xf>
    <xf numFmtId="0" fontId="77" fillId="29" borderId="19" xfId="0" applyFont="1" applyFill="1" applyBorder="1" applyAlignment="1">
      <alignment horizontal="center" vertical="center" wrapText="1"/>
    </xf>
    <xf numFmtId="0" fontId="37" fillId="29" borderId="15" xfId="0" applyFont="1" applyFill="1" applyBorder="1" applyAlignment="1">
      <alignment horizontal="center" vertical="center"/>
    </xf>
    <xf numFmtId="0" fontId="25" fillId="29" borderId="36" xfId="0" applyFont="1" applyFill="1" applyBorder="1" applyAlignment="1">
      <alignment horizontal="right" vertical="center"/>
    </xf>
    <xf numFmtId="0" fontId="25" fillId="29" borderId="0" xfId="0" applyFont="1" applyFill="1" applyBorder="1" applyAlignment="1">
      <alignment horizontal="right" vertical="center"/>
    </xf>
    <xf numFmtId="0" fontId="25" fillId="29" borderId="37" xfId="0" applyFont="1" applyFill="1" applyBorder="1" applyAlignment="1">
      <alignment horizontal="right" vertical="center"/>
    </xf>
    <xf numFmtId="49" fontId="23" fillId="0" borderId="10" xfId="0" applyNumberFormat="1" applyFont="1" applyFill="1" applyBorder="1" applyAlignment="1">
      <alignment horizontal="justify" vertical="center" wrapText="1"/>
    </xf>
    <xf numFmtId="49" fontId="25" fillId="25" borderId="10" xfId="0" applyNumberFormat="1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 wrapText="1"/>
    </xf>
    <xf numFmtId="0" fontId="25" fillId="22" borderId="25" xfId="0" applyFont="1" applyFill="1" applyBorder="1" applyAlignment="1">
      <alignment horizontal="center" vertical="center" wrapText="1"/>
    </xf>
    <xf numFmtId="4" fontId="25" fillId="0" borderId="38" xfId="0" applyNumberFormat="1" applyFont="1" applyBorder="1" applyAlignment="1">
      <alignment horizontal="center" vertical="center" wrapText="1"/>
    </xf>
    <xf numFmtId="4" fontId="25" fillId="0" borderId="26" xfId="0" applyNumberFormat="1" applyFont="1" applyBorder="1" applyAlignment="1">
      <alignment horizontal="center" vertical="center" wrapText="1"/>
    </xf>
    <xf numFmtId="4" fontId="25" fillId="0" borderId="40" xfId="0" applyNumberFormat="1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4" fontId="25" fillId="0" borderId="27" xfId="0" applyNumberFormat="1" applyFont="1" applyBorder="1" applyAlignment="1">
      <alignment horizontal="center" vertical="center" wrapText="1"/>
    </xf>
    <xf numFmtId="4" fontId="25" fillId="0" borderId="43" xfId="0" applyNumberFormat="1" applyFont="1" applyBorder="1" applyAlignment="1">
      <alignment horizontal="center" vertical="center" wrapText="1"/>
    </xf>
    <xf numFmtId="4" fontId="28" fillId="22" borderId="10" xfId="0" applyNumberFormat="1" applyFont="1" applyFill="1" applyBorder="1" applyAlignment="1">
      <alignment horizontal="center" vertical="center"/>
    </xf>
    <xf numFmtId="0" fontId="25" fillId="25" borderId="15" xfId="0" applyFont="1" applyFill="1" applyBorder="1" applyAlignment="1">
      <alignment horizontal="right" vertical="center"/>
    </xf>
    <xf numFmtId="0" fontId="25" fillId="0" borderId="28" xfId="0" applyFont="1" applyBorder="1" applyAlignment="1">
      <alignment horizontal="left" vertical="center" wrapText="1"/>
    </xf>
    <xf numFmtId="0" fontId="25" fillId="0" borderId="38" xfId="0" applyFont="1" applyBorder="1" applyAlignment="1">
      <alignment horizontal="left" vertical="center" wrapText="1"/>
    </xf>
    <xf numFmtId="0" fontId="25" fillId="0" borderId="29" xfId="0" applyFont="1" applyBorder="1" applyAlignment="1">
      <alignment horizontal="left" vertical="center" wrapText="1"/>
    </xf>
    <xf numFmtId="0" fontId="25" fillId="0" borderId="39" xfId="0" applyFont="1" applyBorder="1" applyAlignment="1">
      <alignment horizontal="left" vertical="center" wrapText="1"/>
    </xf>
    <xf numFmtId="0" fontId="37" fillId="22" borderId="12" xfId="0" applyFont="1" applyFill="1" applyBorder="1" applyAlignment="1">
      <alignment horizontal="right" vertical="center"/>
    </xf>
    <xf numFmtId="0" fontId="37" fillId="22" borderId="13" xfId="0" applyFont="1" applyFill="1" applyBorder="1" applyAlignment="1">
      <alignment horizontal="right" vertical="center"/>
    </xf>
    <xf numFmtId="0" fontId="37" fillId="22" borderId="14" xfId="0" applyFont="1" applyFill="1" applyBorder="1" applyAlignment="1">
      <alignment horizontal="right" vertical="center"/>
    </xf>
    <xf numFmtId="166" fontId="55" fillId="0" borderId="12" xfId="0" applyNumberFormat="1" applyFont="1" applyFill="1" applyBorder="1" applyAlignment="1">
      <alignment horizontal="center" vertical="center" wrapText="1"/>
    </xf>
    <xf numFmtId="166" fontId="55" fillId="0" borderId="14" xfId="0" applyNumberFormat="1" applyFont="1" applyFill="1" applyBorder="1" applyAlignment="1">
      <alignment horizontal="center" vertical="center" wrapText="1"/>
    </xf>
    <xf numFmtId="0" fontId="39" fillId="0" borderId="12" xfId="0" applyFont="1" applyFill="1" applyBorder="1" applyAlignment="1">
      <alignment horizontal="left" vertical="center" wrapText="1"/>
    </xf>
    <xf numFmtId="0" fontId="39" fillId="0" borderId="13" xfId="0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left" vertical="center" wrapText="1"/>
    </xf>
    <xf numFmtId="0" fontId="55" fillId="0" borderId="12" xfId="0" applyFont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 wrapText="1"/>
    </xf>
    <xf numFmtId="166" fontId="55" fillId="0" borderId="12" xfId="0" applyNumberFormat="1" applyFont="1" applyFill="1" applyBorder="1" applyAlignment="1">
      <alignment horizontal="center" vertical="center"/>
    </xf>
    <xf numFmtId="166" fontId="55" fillId="0" borderId="14" xfId="0" applyNumberFormat="1" applyFont="1" applyFill="1" applyBorder="1" applyAlignment="1">
      <alignment horizontal="center" vertical="center"/>
    </xf>
    <xf numFmtId="0" fontId="39" fillId="0" borderId="12" xfId="0" applyFont="1" applyBorder="1" applyAlignment="1">
      <alignment horizontal="left" vertical="center" wrapText="1"/>
    </xf>
    <xf numFmtId="0" fontId="39" fillId="0" borderId="13" xfId="0" applyFont="1" applyBorder="1" applyAlignment="1">
      <alignment horizontal="left" vertical="center" wrapText="1"/>
    </xf>
    <xf numFmtId="0" fontId="39" fillId="0" borderId="14" xfId="0" applyFont="1" applyBorder="1" applyAlignment="1">
      <alignment horizontal="left" vertical="center" wrapText="1"/>
    </xf>
    <xf numFmtId="0" fontId="0" fillId="26" borderId="0" xfId="0" applyFont="1" applyFill="1" applyAlignment="1">
      <alignment horizontal="left" vertical="top" wrapText="1"/>
    </xf>
    <xf numFmtId="0" fontId="0" fillId="30" borderId="0" xfId="0" applyFont="1" applyFill="1" applyAlignment="1">
      <alignment horizontal="left" vertical="top" wrapText="1"/>
    </xf>
    <xf numFmtId="0" fontId="0" fillId="26" borderId="44" xfId="0" applyFill="1" applyBorder="1" applyAlignment="1">
      <alignment horizontal="center" vertical="top"/>
    </xf>
    <xf numFmtId="0" fontId="25" fillId="0" borderId="10" xfId="0" applyFont="1" applyBorder="1" applyAlignment="1">
      <alignment horizontal="left"/>
    </xf>
    <xf numFmtId="0" fontId="25" fillId="0" borderId="10" xfId="0" applyFont="1" applyBorder="1" applyAlignment="1">
      <alignment horizontal="center"/>
    </xf>
    <xf numFmtId="3" fontId="28" fillId="22" borderId="12" xfId="0" applyNumberFormat="1" applyFont="1" applyFill="1" applyBorder="1" applyAlignment="1">
      <alignment horizontal="center" vertical="center" wrapText="1"/>
    </xf>
    <xf numFmtId="3" fontId="28" fillId="22" borderId="13" xfId="0" applyNumberFormat="1" applyFont="1" applyFill="1" applyBorder="1" applyAlignment="1">
      <alignment horizontal="center" vertical="center" wrapText="1"/>
    </xf>
    <xf numFmtId="3" fontId="28" fillId="22" borderId="14" xfId="0" applyNumberFormat="1" applyFont="1" applyFill="1" applyBorder="1" applyAlignment="1">
      <alignment horizontal="center" vertical="center" wrapText="1"/>
    </xf>
    <xf numFmtId="0" fontId="25" fillId="34" borderId="10" xfId="0" applyFont="1" applyFill="1" applyBorder="1" applyAlignment="1">
      <alignment horizontal="left" wrapText="1"/>
    </xf>
  </cellXfs>
  <cellStyles count="45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Incorreto" xfId="30" xr:uid="{E3DD5842-B806-40F2-A32B-1FFC57C0A960}"/>
    <cellStyle name="Moeda" xfId="31" builtinId="4"/>
    <cellStyle name="Neutra" xfId="32" xr:uid="{CE78AA60-F4DA-4132-BACB-A25314572B55}"/>
    <cellStyle name="Normal" xfId="0" builtinId="0"/>
    <cellStyle name="Nota" xfId="33" builtinId="10" customBuiltin="1"/>
    <cellStyle name="Porcentagem" xfId="34" builtinId="5"/>
    <cellStyle name="Saída" xfId="35" builtinId="21" customBuiltin="1"/>
    <cellStyle name="Texto de Aviso" xfId="36" builtinId="11" customBuiltin="1"/>
    <cellStyle name="Texto Explicativo" xfId="37" builtinId="53" customBuiltin="1"/>
    <cellStyle name="Título 1" xfId="38" builtinId="16" customBuiltin="1"/>
    <cellStyle name="Título 2" xfId="39" builtinId="17" customBuiltin="1"/>
    <cellStyle name="Título 3" xfId="40" builtinId="18" customBuiltin="1"/>
    <cellStyle name="Título 4" xfId="41" builtinId="19" customBuiltin="1"/>
    <cellStyle name="Título 5" xfId="42" xr:uid="{B2E9BA52-81BC-48E5-8346-D6749F0B8A7D}"/>
    <cellStyle name="Total" xfId="43" builtinId="25" customBuiltin="1"/>
    <cellStyle name="Vírgula" xfId="44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2300DC"/>
      <rgbColor rgb="00009900"/>
      <rgbColor rgb="00800080"/>
      <rgbColor rgb="00006B6B"/>
      <rgbColor rgb="00C0C0C0"/>
      <rgbColor rgb="00808080"/>
      <rgbColor rgb="009999FF"/>
      <rgbColor rgb="00FF330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9933"/>
      <rgbColor rgb="000000CC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33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3BD3-D336-4332-855D-0B5098141302}">
  <dimension ref="A1:IV209"/>
  <sheetViews>
    <sheetView view="pageBreakPreview" topLeftCell="A182" zoomScale="120" zoomScaleNormal="120" zoomScaleSheetLayoutView="120" workbookViewId="0">
      <selection activeCell="K119" sqref="K119"/>
    </sheetView>
  </sheetViews>
  <sheetFormatPr defaultColWidth="9.28515625" defaultRowHeight="12" x14ac:dyDescent="0.2"/>
  <cols>
    <col min="1" max="1" width="15.28515625" style="1" customWidth="1"/>
    <col min="2" max="2" width="11.28515625" style="1" customWidth="1"/>
    <col min="3" max="3" width="13.28515625" style="1" customWidth="1"/>
    <col min="4" max="4" width="10.28515625" style="1" customWidth="1"/>
    <col min="5" max="5" width="12.42578125" style="1" customWidth="1"/>
    <col min="6" max="6" width="11.28515625" style="1" customWidth="1"/>
    <col min="7" max="7" width="9.7109375" style="1" customWidth="1"/>
    <col min="8" max="8" width="11.28515625" style="1" customWidth="1"/>
    <col min="9" max="9" width="16.7109375" style="2" customWidth="1"/>
    <col min="10" max="10" width="10.7109375" style="1" customWidth="1"/>
    <col min="11" max="11" width="11.28515625" style="1" customWidth="1"/>
    <col min="12" max="12" width="7.42578125" style="1" customWidth="1"/>
    <col min="13" max="13" width="6.5703125" style="1" customWidth="1"/>
    <col min="14" max="15" width="9.28515625" style="1" customWidth="1"/>
    <col min="16" max="16384" width="9.28515625" style="1"/>
  </cols>
  <sheetData>
    <row r="1" spans="1:11" x14ac:dyDescent="0.2">
      <c r="A1" s="97"/>
      <c r="B1" s="97"/>
      <c r="C1" s="97"/>
      <c r="D1" s="97"/>
      <c r="E1" s="97"/>
      <c r="F1" s="97"/>
      <c r="G1" s="97"/>
      <c r="H1" s="97"/>
      <c r="I1" s="100"/>
    </row>
    <row r="2" spans="1:11" ht="32.65" customHeight="1" x14ac:dyDescent="0.2">
      <c r="A2" s="326" t="s">
        <v>224</v>
      </c>
      <c r="B2" s="326"/>
      <c r="C2" s="326"/>
      <c r="D2" s="326"/>
      <c r="E2" s="326"/>
      <c r="F2" s="326"/>
      <c r="G2" s="326"/>
      <c r="H2" s="326"/>
      <c r="I2" s="326"/>
    </row>
    <row r="3" spans="1:11" ht="63" customHeight="1" x14ac:dyDescent="0.2">
      <c r="A3" s="327" t="s">
        <v>255</v>
      </c>
      <c r="B3" s="327"/>
      <c r="C3" s="327"/>
      <c r="D3" s="327"/>
      <c r="E3" s="327"/>
      <c r="F3" s="327"/>
      <c r="G3" s="327"/>
      <c r="H3" s="327"/>
      <c r="I3" s="327"/>
    </row>
    <row r="4" spans="1:11" ht="15.75" customHeight="1" x14ac:dyDescent="0.2">
      <c r="A4" s="244" t="s">
        <v>10</v>
      </c>
      <c r="B4" s="244"/>
      <c r="C4" s="244"/>
      <c r="D4" s="244"/>
      <c r="E4" s="244"/>
      <c r="F4" s="318"/>
      <c r="G4" s="318"/>
      <c r="H4" s="318"/>
      <c r="I4" s="318"/>
    </row>
    <row r="5" spans="1:11" ht="15.75" customHeight="1" x14ac:dyDescent="0.2">
      <c r="A5" s="244" t="s">
        <v>11</v>
      </c>
      <c r="B5" s="244"/>
      <c r="C5" s="244"/>
      <c r="D5" s="244"/>
      <c r="E5" s="244"/>
      <c r="F5" s="318"/>
      <c r="G5" s="318"/>
      <c r="H5" s="318"/>
      <c r="I5" s="318"/>
    </row>
    <row r="6" spans="1:11" ht="14.85" customHeight="1" x14ac:dyDescent="0.2">
      <c r="A6" s="324" t="s">
        <v>180</v>
      </c>
      <c r="B6" s="325"/>
      <c r="C6" s="325"/>
      <c r="D6" s="325"/>
      <c r="E6" s="325"/>
      <c r="F6" s="318"/>
      <c r="G6" s="318"/>
      <c r="H6" s="318"/>
      <c r="I6" s="318"/>
    </row>
    <row r="7" spans="1:11" ht="20.25" customHeight="1" x14ac:dyDescent="0.2">
      <c r="A7" s="224" t="s">
        <v>12</v>
      </c>
      <c r="B7" s="224"/>
      <c r="C7" s="224"/>
      <c r="D7" s="224"/>
      <c r="E7" s="224"/>
      <c r="F7" s="224"/>
      <c r="G7" s="224"/>
      <c r="H7" s="224"/>
      <c r="I7" s="224"/>
    </row>
    <row r="8" spans="1:11" ht="19.5" customHeight="1" x14ac:dyDescent="0.2">
      <c r="A8" s="3" t="s">
        <v>13</v>
      </c>
      <c r="B8" s="244" t="s">
        <v>14</v>
      </c>
      <c r="C8" s="244"/>
      <c r="D8" s="244"/>
      <c r="E8" s="244"/>
      <c r="F8" s="244"/>
      <c r="G8" s="244"/>
      <c r="H8" s="323"/>
      <c r="I8" s="323"/>
    </row>
    <row r="9" spans="1:11" ht="19.5" customHeight="1" x14ac:dyDescent="0.2">
      <c r="A9" s="3" t="s">
        <v>15</v>
      </c>
      <c r="B9" s="244" t="s">
        <v>16</v>
      </c>
      <c r="C9" s="244"/>
      <c r="D9" s="244"/>
      <c r="E9" s="244"/>
      <c r="F9" s="244"/>
      <c r="G9" s="244"/>
      <c r="H9" s="318" t="s">
        <v>181</v>
      </c>
      <c r="I9" s="318"/>
    </row>
    <row r="10" spans="1:11" ht="19.5" customHeight="1" x14ac:dyDescent="0.2">
      <c r="A10" s="3" t="s">
        <v>17</v>
      </c>
      <c r="B10" s="244" t="s">
        <v>18</v>
      </c>
      <c r="C10" s="244"/>
      <c r="D10" s="244"/>
      <c r="E10" s="244"/>
      <c r="F10" s="244"/>
      <c r="G10" s="244"/>
      <c r="H10" s="318" t="s">
        <v>235</v>
      </c>
      <c r="I10" s="318"/>
    </row>
    <row r="11" spans="1:11" ht="19.5" customHeight="1" x14ac:dyDescent="0.2">
      <c r="A11" s="3" t="s">
        <v>19</v>
      </c>
      <c r="B11" s="244" t="s">
        <v>174</v>
      </c>
      <c r="C11" s="244"/>
      <c r="D11" s="244"/>
      <c r="E11" s="244"/>
      <c r="F11" s="244"/>
      <c r="G11" s="244"/>
      <c r="H11" s="319">
        <v>60</v>
      </c>
      <c r="I11" s="319"/>
      <c r="K11" s="4"/>
    </row>
    <row r="12" spans="1:11" ht="21.4" customHeight="1" x14ac:dyDescent="0.2">
      <c r="A12" s="320" t="s">
        <v>20</v>
      </c>
      <c r="B12" s="320"/>
      <c r="C12" s="320"/>
      <c r="D12" s="320"/>
      <c r="E12" s="320"/>
      <c r="F12" s="320"/>
      <c r="G12" s="320"/>
      <c r="H12" s="320"/>
      <c r="I12" s="320"/>
    </row>
    <row r="13" spans="1:11" ht="50.65" customHeight="1" x14ac:dyDescent="0.2">
      <c r="A13" s="321" t="s">
        <v>176</v>
      </c>
      <c r="B13" s="321"/>
      <c r="C13" s="321"/>
      <c r="D13" s="321"/>
      <c r="E13" s="321"/>
      <c r="F13" s="315" t="s">
        <v>21</v>
      </c>
      <c r="G13" s="315"/>
      <c r="H13" s="322" t="s">
        <v>22</v>
      </c>
      <c r="I13" s="322"/>
    </row>
    <row r="14" spans="1:11" ht="12.75" customHeight="1" x14ac:dyDescent="0.2">
      <c r="A14" s="244" t="s">
        <v>175</v>
      </c>
      <c r="B14" s="244"/>
      <c r="C14" s="244"/>
      <c r="D14" s="244"/>
      <c r="E14" s="244"/>
      <c r="F14" s="201" t="s">
        <v>23</v>
      </c>
      <c r="G14" s="201"/>
      <c r="H14" s="317" t="s">
        <v>24</v>
      </c>
      <c r="I14" s="317"/>
    </row>
    <row r="15" spans="1:11" ht="12.75" customHeight="1" x14ac:dyDescent="0.2">
      <c r="A15" s="314" t="s">
        <v>236</v>
      </c>
      <c r="B15" s="314"/>
      <c r="C15" s="314"/>
      <c r="D15" s="314"/>
      <c r="E15" s="314"/>
      <c r="F15" s="315" t="s">
        <v>23</v>
      </c>
      <c r="G15" s="315"/>
      <c r="H15" s="316">
        <v>2</v>
      </c>
      <c r="I15" s="316"/>
    </row>
    <row r="16" spans="1:11" ht="12.75" customHeight="1" x14ac:dyDescent="0.2">
      <c r="A16" s="310" t="s">
        <v>25</v>
      </c>
      <c r="B16" s="310"/>
      <c r="C16" s="310"/>
      <c r="D16" s="310"/>
      <c r="E16" s="310"/>
      <c r="F16" s="310"/>
      <c r="G16" s="310"/>
      <c r="H16" s="311">
        <f>SUM(H14:H15)</f>
        <v>2</v>
      </c>
      <c r="I16" s="311"/>
    </row>
    <row r="17" spans="1:256" ht="8.25" customHeight="1" x14ac:dyDescent="0.2">
      <c r="A17" s="279"/>
      <c r="B17" s="279"/>
      <c r="C17" s="279"/>
      <c r="D17" s="279"/>
      <c r="E17" s="279"/>
      <c r="F17" s="279"/>
      <c r="G17" s="279"/>
      <c r="H17" s="279"/>
      <c r="I17" s="279"/>
    </row>
    <row r="18" spans="1:256" ht="43.9" customHeight="1" x14ac:dyDescent="0.2">
      <c r="A18" s="312" t="s">
        <v>26</v>
      </c>
      <c r="B18" s="312"/>
      <c r="C18" s="312"/>
      <c r="D18" s="312"/>
      <c r="E18" s="312"/>
      <c r="F18" s="312"/>
      <c r="G18" s="312"/>
      <c r="H18" s="312"/>
      <c r="I18" s="312"/>
      <c r="J18" s="6"/>
      <c r="K18" s="7"/>
      <c r="L18" s="8"/>
    </row>
    <row r="19" spans="1:256" ht="7.5" customHeight="1" x14ac:dyDescent="0.2">
      <c r="A19" s="277"/>
      <c r="B19" s="277"/>
      <c r="C19" s="277"/>
      <c r="D19" s="277"/>
      <c r="E19" s="277"/>
      <c r="F19" s="277"/>
      <c r="G19" s="277"/>
      <c r="H19" s="277"/>
      <c r="I19" s="277"/>
      <c r="J19" s="6"/>
      <c r="K19" s="7"/>
      <c r="L19" s="8"/>
    </row>
    <row r="20" spans="1:256" ht="52.15" customHeight="1" x14ac:dyDescent="0.3">
      <c r="A20" s="313" t="s">
        <v>27</v>
      </c>
      <c r="B20" s="313"/>
      <c r="C20" s="313"/>
      <c r="D20" s="313"/>
      <c r="E20" s="313"/>
      <c r="F20" s="313"/>
      <c r="G20" s="313"/>
      <c r="H20" s="313"/>
      <c r="I20" s="313"/>
      <c r="J20" s="6"/>
      <c r="K20" s="7"/>
      <c r="L20" s="8"/>
    </row>
    <row r="21" spans="1:256" ht="10.35" customHeight="1" x14ac:dyDescent="0.25">
      <c r="A21" s="309"/>
      <c r="B21" s="309"/>
      <c r="C21" s="309"/>
      <c r="D21" s="309"/>
      <c r="E21" s="309"/>
      <c r="F21" s="309"/>
      <c r="G21" s="309"/>
      <c r="H21" s="309"/>
      <c r="I21" s="309"/>
      <c r="J21" s="6"/>
      <c r="K21" s="7"/>
      <c r="L21" s="8"/>
    </row>
    <row r="22" spans="1:256" s="9" customFormat="1" ht="21.75" customHeight="1" x14ac:dyDescent="0.2">
      <c r="A22" s="224" t="s">
        <v>28</v>
      </c>
      <c r="B22" s="224"/>
      <c r="C22" s="224"/>
      <c r="D22" s="224"/>
      <c r="E22" s="224"/>
      <c r="F22" s="224"/>
      <c r="G22" s="224"/>
      <c r="H22" s="224"/>
      <c r="I22" s="224"/>
      <c r="J22" s="306"/>
      <c r="K22" s="306"/>
      <c r="L22" s="306"/>
      <c r="M22" s="306"/>
      <c r="N22" s="306"/>
      <c r="O22" s="306"/>
      <c r="P22" s="306"/>
      <c r="Q22" s="306"/>
      <c r="R22" s="306"/>
      <c r="S22" s="306"/>
      <c r="T22" s="306"/>
      <c r="U22" s="306"/>
      <c r="V22" s="306"/>
      <c r="W22" s="306"/>
      <c r="X22" s="306"/>
      <c r="Y22" s="306"/>
      <c r="Z22" s="306"/>
      <c r="AA22" s="306"/>
      <c r="AB22" s="306"/>
      <c r="AC22" s="306"/>
      <c r="AD22" s="306"/>
      <c r="AE22" s="306"/>
      <c r="AF22" s="306"/>
      <c r="AG22" s="306"/>
      <c r="AH22" s="306"/>
      <c r="AI22" s="306"/>
      <c r="AJ22" s="306"/>
      <c r="AK22" s="306"/>
      <c r="AL22" s="306"/>
      <c r="AM22" s="306"/>
      <c r="AN22" s="306"/>
      <c r="AO22" s="306"/>
      <c r="AP22" s="306"/>
      <c r="AQ22" s="306"/>
      <c r="AR22" s="306"/>
      <c r="AS22" s="306"/>
      <c r="AT22" s="306"/>
      <c r="AU22" s="306"/>
      <c r="AV22" s="306"/>
      <c r="AW22" s="306"/>
      <c r="AX22" s="306"/>
      <c r="AY22" s="306"/>
      <c r="AZ22" s="306"/>
      <c r="BA22" s="306"/>
      <c r="BB22" s="306"/>
      <c r="BC22" s="306"/>
      <c r="BD22" s="306"/>
      <c r="BE22" s="306"/>
      <c r="BF22" s="306"/>
      <c r="BG22" s="306"/>
      <c r="BH22" s="306"/>
      <c r="BI22" s="306"/>
      <c r="BJ22" s="306"/>
      <c r="BK22" s="306"/>
      <c r="BL22" s="306"/>
      <c r="BM22" s="306"/>
      <c r="BN22" s="306"/>
      <c r="BO22" s="306"/>
      <c r="BP22" s="306"/>
      <c r="BQ22" s="306"/>
      <c r="BR22" s="306"/>
      <c r="BS22" s="306"/>
      <c r="BT22" s="306"/>
      <c r="BU22" s="306"/>
      <c r="BV22" s="306"/>
      <c r="BW22" s="306"/>
      <c r="BX22" s="306"/>
      <c r="BY22" s="306"/>
      <c r="BZ22" s="306"/>
      <c r="CA22" s="306"/>
      <c r="CB22" s="306"/>
      <c r="CC22" s="306"/>
      <c r="CD22" s="306"/>
      <c r="CE22" s="306"/>
      <c r="CF22" s="306"/>
      <c r="CG22" s="306"/>
      <c r="CH22" s="306"/>
      <c r="CI22" s="306"/>
      <c r="CJ22" s="306"/>
      <c r="CK22" s="306"/>
      <c r="CL22" s="306"/>
      <c r="CM22" s="306"/>
      <c r="CN22" s="306"/>
      <c r="CO22" s="306"/>
      <c r="CP22" s="306"/>
      <c r="CQ22" s="306"/>
      <c r="CR22" s="306"/>
      <c r="CS22" s="306"/>
      <c r="CT22" s="306"/>
      <c r="CU22" s="306"/>
      <c r="CV22" s="306"/>
      <c r="CW22" s="306"/>
      <c r="CX22" s="306"/>
      <c r="CY22" s="306"/>
      <c r="CZ22" s="306"/>
      <c r="DA22" s="306"/>
      <c r="DB22" s="306"/>
      <c r="DC22" s="306"/>
      <c r="DD22" s="306"/>
      <c r="DE22" s="306"/>
      <c r="DF22" s="306"/>
      <c r="DG22" s="306"/>
      <c r="DH22" s="306"/>
      <c r="DI22" s="306"/>
      <c r="DJ22" s="306"/>
      <c r="DK22" s="306"/>
      <c r="DL22" s="306"/>
      <c r="DM22" s="306"/>
      <c r="DN22" s="306"/>
      <c r="DO22" s="306"/>
      <c r="DP22" s="306"/>
      <c r="DQ22" s="306"/>
      <c r="DR22" s="306"/>
      <c r="DS22" s="306"/>
      <c r="DT22" s="306"/>
      <c r="DU22" s="306"/>
      <c r="DV22" s="306"/>
      <c r="DW22" s="306"/>
      <c r="DX22" s="306"/>
      <c r="DY22" s="306"/>
      <c r="DZ22" s="306"/>
      <c r="EA22" s="306"/>
      <c r="EB22" s="306"/>
      <c r="EC22" s="306"/>
      <c r="ED22" s="306"/>
      <c r="EE22" s="306"/>
      <c r="EF22" s="306"/>
      <c r="EG22" s="306"/>
      <c r="EH22" s="306"/>
      <c r="EI22" s="306"/>
      <c r="EJ22" s="306"/>
      <c r="EK22" s="306"/>
      <c r="EL22" s="306"/>
      <c r="EM22" s="306"/>
      <c r="EN22" s="306"/>
      <c r="EO22" s="306"/>
      <c r="EP22" s="306"/>
      <c r="EQ22" s="306"/>
      <c r="ER22" s="306"/>
      <c r="ES22" s="306"/>
      <c r="ET22" s="306"/>
      <c r="EU22" s="306"/>
      <c r="EV22" s="306"/>
      <c r="EW22" s="306"/>
      <c r="EX22" s="306"/>
      <c r="EY22" s="306"/>
      <c r="EZ22" s="306"/>
      <c r="FA22" s="306"/>
      <c r="FB22" s="306"/>
      <c r="FC22" s="306"/>
      <c r="FD22" s="306"/>
      <c r="FE22" s="306"/>
      <c r="FF22" s="306"/>
      <c r="FG22" s="306"/>
      <c r="FH22" s="306"/>
      <c r="FI22" s="306"/>
      <c r="FJ22" s="306"/>
      <c r="FK22" s="306"/>
      <c r="FL22" s="306"/>
      <c r="FM22" s="306"/>
      <c r="FN22" s="306"/>
      <c r="FO22" s="306"/>
      <c r="FP22" s="306"/>
      <c r="FQ22" s="306"/>
      <c r="FR22" s="306"/>
      <c r="FS22" s="306"/>
      <c r="FT22" s="306"/>
      <c r="FU22" s="306"/>
      <c r="FV22" s="306"/>
      <c r="FW22" s="306"/>
      <c r="FX22" s="306"/>
      <c r="FY22" s="306"/>
      <c r="FZ22" s="306"/>
      <c r="GA22" s="306"/>
      <c r="GB22" s="306"/>
      <c r="GC22" s="306"/>
      <c r="GD22" s="306"/>
      <c r="GE22" s="306"/>
      <c r="GF22" s="306"/>
      <c r="GG22" s="306"/>
      <c r="GH22" s="306"/>
      <c r="GI22" s="306"/>
      <c r="GJ22" s="306"/>
      <c r="GK22" s="306"/>
      <c r="GL22" s="306"/>
      <c r="GM22" s="306"/>
      <c r="GN22" s="306"/>
      <c r="GO22" s="306"/>
      <c r="GP22" s="306"/>
      <c r="GQ22" s="306"/>
      <c r="GR22" s="306"/>
      <c r="GS22" s="306"/>
      <c r="GT22" s="306"/>
      <c r="GU22" s="306"/>
      <c r="GV22" s="306"/>
      <c r="GW22" s="306"/>
      <c r="GX22" s="306"/>
      <c r="GY22" s="306"/>
      <c r="GZ22" s="306"/>
      <c r="HA22" s="306"/>
      <c r="HB22" s="306"/>
      <c r="HC22" s="306"/>
      <c r="HD22" s="306"/>
      <c r="HE22" s="306"/>
      <c r="HF22" s="306"/>
      <c r="HG22" s="306"/>
      <c r="HH22" s="306"/>
      <c r="HI22" s="306"/>
      <c r="HJ22" s="306"/>
      <c r="HK22" s="306"/>
      <c r="HL22" s="306"/>
      <c r="HM22" s="306"/>
      <c r="HN22" s="306"/>
      <c r="HO22" s="306"/>
      <c r="HP22" s="306"/>
      <c r="HQ22" s="306"/>
      <c r="HR22" s="306"/>
      <c r="HS22" s="306"/>
      <c r="HT22" s="306"/>
      <c r="HU22" s="306"/>
      <c r="HV22" s="306"/>
      <c r="HW22" s="306"/>
      <c r="HX22" s="306"/>
      <c r="HY22" s="306"/>
      <c r="HZ22" s="306"/>
      <c r="IA22" s="306"/>
      <c r="IB22" s="306"/>
      <c r="IC22" s="306"/>
      <c r="ID22" s="306"/>
      <c r="IE22" s="306"/>
      <c r="IF22" s="306"/>
      <c r="IG22" s="306"/>
      <c r="IH22" s="306"/>
      <c r="II22" s="306"/>
      <c r="IJ22" s="306"/>
      <c r="IK22" s="306"/>
      <c r="IL22" s="306"/>
      <c r="IM22" s="306"/>
      <c r="IN22" s="306"/>
      <c r="IO22" s="306"/>
      <c r="IP22" s="306"/>
      <c r="IQ22" s="306"/>
      <c r="IR22" s="306"/>
      <c r="IS22" s="306"/>
      <c r="IT22" s="306"/>
      <c r="IU22" s="306"/>
      <c r="IV22" s="306"/>
    </row>
    <row r="23" spans="1:256" ht="27.6" customHeight="1" x14ac:dyDescent="0.2">
      <c r="A23" s="3">
        <v>1</v>
      </c>
      <c r="B23" s="244" t="s">
        <v>29</v>
      </c>
      <c r="C23" s="244"/>
      <c r="D23" s="244"/>
      <c r="E23" s="244"/>
      <c r="F23" s="244"/>
      <c r="G23" s="244"/>
      <c r="H23" s="307" t="s">
        <v>178</v>
      </c>
      <c r="I23" s="307"/>
    </row>
    <row r="24" spans="1:256" ht="19.5" customHeight="1" x14ac:dyDescent="0.2">
      <c r="A24" s="10">
        <v>2</v>
      </c>
      <c r="B24" s="298" t="s">
        <v>30</v>
      </c>
      <c r="C24" s="298"/>
      <c r="D24" s="298"/>
      <c r="E24" s="298"/>
      <c r="F24" s="298"/>
      <c r="G24" s="298"/>
      <c r="H24" s="308" t="s">
        <v>177</v>
      </c>
      <c r="I24" s="308"/>
    </row>
    <row r="25" spans="1:256" ht="15.75" customHeight="1" x14ac:dyDescent="0.2">
      <c r="A25" s="3">
        <v>3</v>
      </c>
      <c r="B25" s="244" t="s">
        <v>31</v>
      </c>
      <c r="C25" s="244"/>
      <c r="D25" s="244"/>
      <c r="E25" s="244"/>
      <c r="F25" s="244"/>
      <c r="G25" s="244"/>
      <c r="H25" s="303">
        <v>1654.4</v>
      </c>
      <c r="I25" s="303"/>
      <c r="J25" s="138"/>
      <c r="K25" s="138"/>
    </row>
    <row r="26" spans="1:256" ht="15.75" customHeight="1" x14ac:dyDescent="0.2">
      <c r="A26" s="3">
        <v>4</v>
      </c>
      <c r="B26" s="244" t="s">
        <v>32</v>
      </c>
      <c r="C26" s="244"/>
      <c r="D26" s="244"/>
      <c r="E26" s="244"/>
      <c r="F26" s="244"/>
      <c r="G26" s="244"/>
      <c r="H26" s="304" t="s">
        <v>179</v>
      </c>
      <c r="I26" s="304"/>
    </row>
    <row r="27" spans="1:256" ht="15.75" customHeight="1" x14ac:dyDescent="0.2">
      <c r="A27" s="3">
        <v>5</v>
      </c>
      <c r="B27" s="244" t="s">
        <v>33</v>
      </c>
      <c r="C27" s="244"/>
      <c r="D27" s="244"/>
      <c r="E27" s="244"/>
      <c r="F27" s="244"/>
      <c r="G27" s="244"/>
      <c r="H27" s="305" t="s">
        <v>235</v>
      </c>
      <c r="I27" s="305"/>
    </row>
    <row r="28" spans="1:256" ht="27.6" customHeight="1" x14ac:dyDescent="0.2">
      <c r="A28" s="11">
        <v>6</v>
      </c>
      <c r="B28" s="281" t="s">
        <v>34</v>
      </c>
      <c r="C28" s="281"/>
      <c r="D28" s="281"/>
      <c r="E28" s="281"/>
      <c r="F28" s="281"/>
      <c r="G28" s="281"/>
      <c r="H28" s="301">
        <f>ROUND((H25/220),2)</f>
        <v>7.52</v>
      </c>
      <c r="I28" s="301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ht="23.25" customHeight="1" x14ac:dyDescent="0.2">
      <c r="A29" s="11">
        <v>7</v>
      </c>
      <c r="B29" s="281" t="s">
        <v>35</v>
      </c>
      <c r="C29" s="281"/>
      <c r="D29" s="281"/>
      <c r="E29" s="281"/>
      <c r="F29" s="281"/>
      <c r="G29" s="281"/>
      <c r="H29" s="302">
        <f>TRUNC(H28*1.5,2)</f>
        <v>11.28</v>
      </c>
      <c r="I29" s="302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ht="26.25" customHeight="1" x14ac:dyDescent="0.2">
      <c r="A30" s="11">
        <v>8</v>
      </c>
      <c r="B30" s="281" t="s">
        <v>36</v>
      </c>
      <c r="C30" s="281"/>
      <c r="D30" s="281"/>
      <c r="E30" s="281"/>
      <c r="F30" s="281"/>
      <c r="G30" s="281"/>
      <c r="H30" s="301">
        <f>ROUND(H28*0.2,2)</f>
        <v>1.5</v>
      </c>
      <c r="I30" s="301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ht="15.75" customHeight="1" x14ac:dyDescent="0.2">
      <c r="A31" s="11">
        <v>9</v>
      </c>
      <c r="B31" s="299" t="s">
        <v>183</v>
      </c>
      <c r="C31" s="299"/>
      <c r="D31" s="299"/>
      <c r="E31" s="299"/>
      <c r="F31" s="299"/>
      <c r="G31" s="299"/>
      <c r="H31" s="300">
        <v>1</v>
      </c>
      <c r="I31" s="300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ht="9" customHeight="1" x14ac:dyDescent="0.2">
      <c r="A32" s="277"/>
      <c r="B32" s="277"/>
      <c r="C32" s="277"/>
      <c r="D32" s="277"/>
      <c r="E32" s="277"/>
      <c r="F32" s="277"/>
      <c r="G32" s="277"/>
      <c r="H32" s="277"/>
      <c r="I32" s="277"/>
    </row>
    <row r="33" spans="1:12" ht="21.75" customHeight="1" x14ac:dyDescent="0.2">
      <c r="A33" s="278" t="s">
        <v>37</v>
      </c>
      <c r="B33" s="278"/>
      <c r="C33" s="278"/>
      <c r="D33" s="278"/>
      <c r="E33" s="278"/>
      <c r="F33" s="278"/>
      <c r="G33" s="278"/>
      <c r="H33" s="278"/>
      <c r="I33" s="278"/>
    </row>
    <row r="34" spans="1:12" ht="9" customHeight="1" x14ac:dyDescent="0.2">
      <c r="A34" s="296"/>
      <c r="B34" s="296"/>
      <c r="C34" s="296"/>
      <c r="D34" s="296"/>
      <c r="E34" s="296"/>
      <c r="F34" s="296"/>
      <c r="G34" s="296"/>
      <c r="H34" s="296"/>
      <c r="I34" s="296"/>
    </row>
    <row r="35" spans="1:12" ht="20.25" customHeight="1" x14ac:dyDescent="0.2">
      <c r="A35" s="297" t="s">
        <v>38</v>
      </c>
      <c r="B35" s="297"/>
      <c r="C35" s="297"/>
      <c r="D35" s="297"/>
      <c r="E35" s="297"/>
      <c r="F35" s="297"/>
      <c r="G35" s="297"/>
      <c r="H35" s="297"/>
      <c r="I35" s="297"/>
    </row>
    <row r="36" spans="1:12" s="15" customFormat="1" ht="30.4" customHeight="1" x14ac:dyDescent="0.2">
      <c r="A36" s="12">
        <v>1</v>
      </c>
      <c r="B36" s="242" t="s">
        <v>39</v>
      </c>
      <c r="C36" s="242"/>
      <c r="D36" s="242"/>
      <c r="E36" s="242"/>
      <c r="F36" s="242"/>
      <c r="G36" s="242"/>
      <c r="H36" s="14" t="s">
        <v>40</v>
      </c>
      <c r="I36" s="12" t="s">
        <v>41</v>
      </c>
    </row>
    <row r="37" spans="1:12" ht="19.5" customHeight="1" x14ac:dyDescent="0.2">
      <c r="A37" s="3" t="s">
        <v>13</v>
      </c>
      <c r="B37" s="244" t="s">
        <v>242</v>
      </c>
      <c r="C37" s="244"/>
      <c r="D37" s="244"/>
      <c r="E37" s="244"/>
      <c r="F37" s="244"/>
      <c r="G37" s="244"/>
      <c r="H37" s="244"/>
      <c r="I37" s="16">
        <f>H25*H31</f>
        <v>1654.4</v>
      </c>
    </row>
    <row r="38" spans="1:12" ht="38.65" customHeight="1" x14ac:dyDescent="0.2">
      <c r="A38" s="3" t="s">
        <v>15</v>
      </c>
      <c r="B38" s="244" t="s">
        <v>244</v>
      </c>
      <c r="C38" s="244"/>
      <c r="D38" s="244"/>
      <c r="E38" s="244"/>
      <c r="F38" s="244"/>
      <c r="G38" s="244"/>
      <c r="H38" s="244"/>
      <c r="I38" s="16">
        <f>ROUND(1*1*22*H30,2)</f>
        <v>33</v>
      </c>
    </row>
    <row r="39" spans="1:12" ht="51.6" customHeight="1" x14ac:dyDescent="0.2">
      <c r="A39" s="3" t="s">
        <v>17</v>
      </c>
      <c r="B39" s="298" t="s">
        <v>245</v>
      </c>
      <c r="C39" s="298"/>
      <c r="D39" s="298"/>
      <c r="E39" s="298"/>
      <c r="F39" s="298"/>
      <c r="G39" s="298"/>
      <c r="H39" s="298"/>
      <c r="I39" s="16">
        <f>ROUND(H29*H31*22*((60-52.5)/60),2)</f>
        <v>31.02</v>
      </c>
      <c r="K39" s="101"/>
    </row>
    <row r="40" spans="1:12" ht="39.4" customHeight="1" x14ac:dyDescent="0.2">
      <c r="A40" s="3" t="s">
        <v>19</v>
      </c>
      <c r="B40" s="244" t="s">
        <v>246</v>
      </c>
      <c r="C40" s="244"/>
      <c r="D40" s="244"/>
      <c r="E40" s="244"/>
      <c r="F40" s="244"/>
      <c r="G40" s="244"/>
      <c r="H40" s="244"/>
      <c r="I40" s="16">
        <f>ROUND(SUM(I38:I39)*0.2,2)</f>
        <v>12.8</v>
      </c>
      <c r="K40" s="101"/>
    </row>
    <row r="41" spans="1:12" ht="27.75" customHeight="1" x14ac:dyDescent="0.2">
      <c r="A41" s="292" t="s">
        <v>2</v>
      </c>
      <c r="B41" s="292"/>
      <c r="C41" s="292"/>
      <c r="D41" s="292"/>
      <c r="E41" s="292"/>
      <c r="F41" s="292"/>
      <c r="G41" s="292"/>
      <c r="H41" s="292"/>
      <c r="I41" s="19">
        <f>SUM(I37:I40)</f>
        <v>1731.22</v>
      </c>
    </row>
    <row r="42" spans="1:12" ht="9.75" customHeight="1" x14ac:dyDescent="0.2">
      <c r="A42" s="294"/>
      <c r="B42" s="294"/>
      <c r="C42" s="294"/>
      <c r="D42" s="294"/>
      <c r="E42" s="294"/>
      <c r="F42" s="294"/>
      <c r="G42" s="294"/>
      <c r="H42" s="294"/>
      <c r="I42" s="294"/>
    </row>
    <row r="43" spans="1:12" ht="29.25" customHeight="1" x14ac:dyDescent="0.2">
      <c r="A43" s="3" t="s">
        <v>42</v>
      </c>
      <c r="B43" s="244" t="s">
        <v>247</v>
      </c>
      <c r="C43" s="244"/>
      <c r="D43" s="244"/>
      <c r="E43" s="244"/>
      <c r="F43" s="244"/>
      <c r="G43" s="244"/>
      <c r="H43" s="244"/>
      <c r="I43" s="16">
        <v>0</v>
      </c>
      <c r="L43" s="18"/>
    </row>
    <row r="44" spans="1:12" ht="39" customHeight="1" x14ac:dyDescent="0.2">
      <c r="A44" s="292" t="s">
        <v>152</v>
      </c>
      <c r="B44" s="292"/>
      <c r="C44" s="292"/>
      <c r="D44" s="292"/>
      <c r="E44" s="292"/>
      <c r="F44" s="292"/>
      <c r="G44" s="292"/>
      <c r="H44" s="292"/>
      <c r="I44" s="19">
        <f>I43</f>
        <v>0</v>
      </c>
    </row>
    <row r="45" spans="1:12" ht="15.75" customHeight="1" x14ac:dyDescent="0.2">
      <c r="A45" s="279"/>
      <c r="B45" s="279"/>
      <c r="C45" s="279"/>
      <c r="D45" s="279"/>
      <c r="E45" s="279"/>
      <c r="F45" s="279"/>
      <c r="G45" s="279"/>
      <c r="H45" s="279"/>
      <c r="I45" s="279"/>
    </row>
    <row r="46" spans="1:12" ht="45" customHeight="1" x14ac:dyDescent="0.2">
      <c r="A46" s="293" t="s">
        <v>3</v>
      </c>
      <c r="B46" s="293"/>
      <c r="C46" s="293"/>
      <c r="D46" s="293"/>
      <c r="E46" s="293"/>
      <c r="F46" s="293"/>
      <c r="G46" s="293"/>
      <c r="H46" s="293"/>
      <c r="I46" s="20">
        <f>I41+I44</f>
        <v>1731.22</v>
      </c>
    </row>
    <row r="47" spans="1:12" ht="9.4" customHeight="1" x14ac:dyDescent="0.2">
      <c r="A47" s="294"/>
      <c r="B47" s="294"/>
      <c r="C47" s="294"/>
      <c r="D47" s="294"/>
      <c r="E47" s="294"/>
      <c r="F47" s="294"/>
      <c r="G47" s="294"/>
      <c r="H47" s="294"/>
      <c r="I47" s="294"/>
    </row>
    <row r="48" spans="1:12" ht="17.25" customHeight="1" x14ac:dyDescent="0.2">
      <c r="A48" s="295" t="s">
        <v>46</v>
      </c>
      <c r="B48" s="295"/>
      <c r="C48" s="295"/>
      <c r="D48" s="295"/>
      <c r="E48" s="295"/>
      <c r="F48" s="295"/>
      <c r="G48" s="295"/>
      <c r="H48" s="295"/>
      <c r="I48" s="295"/>
    </row>
    <row r="49" spans="1:9" ht="8.65" customHeight="1" x14ac:dyDescent="0.2">
      <c r="A49" s="286"/>
      <c r="B49" s="286"/>
      <c r="C49" s="286"/>
      <c r="D49" s="286"/>
      <c r="E49" s="286"/>
      <c r="F49" s="286"/>
      <c r="G49" s="286"/>
      <c r="H49" s="286"/>
      <c r="I49" s="286"/>
    </row>
    <row r="50" spans="1:9" ht="27" customHeight="1" x14ac:dyDescent="0.2">
      <c r="A50" s="253" t="s">
        <v>47</v>
      </c>
      <c r="B50" s="253"/>
      <c r="C50" s="253"/>
      <c r="D50" s="253"/>
      <c r="E50" s="253"/>
      <c r="F50" s="253"/>
      <c r="G50" s="253"/>
      <c r="H50" s="253"/>
      <c r="I50" s="253"/>
    </row>
    <row r="51" spans="1:9" ht="27" customHeight="1" x14ac:dyDescent="0.2">
      <c r="A51" s="287" t="s">
        <v>4</v>
      </c>
      <c r="B51" s="287"/>
      <c r="C51" s="287"/>
      <c r="D51" s="287"/>
      <c r="E51" s="287"/>
      <c r="F51" s="287"/>
      <c r="G51" s="287"/>
      <c r="H51" s="287"/>
      <c r="I51" s="287"/>
    </row>
    <row r="52" spans="1:9" ht="22.9" customHeight="1" x14ac:dyDescent="0.2">
      <c r="A52" s="21" t="s">
        <v>48</v>
      </c>
      <c r="B52" s="288" t="s">
        <v>5</v>
      </c>
      <c r="C52" s="288"/>
      <c r="D52" s="288"/>
      <c r="E52" s="288"/>
      <c r="F52" s="288"/>
      <c r="G52" s="288"/>
      <c r="H52" s="288"/>
      <c r="I52" s="22" t="s">
        <v>49</v>
      </c>
    </row>
    <row r="53" spans="1:9" ht="27.6" customHeight="1" x14ac:dyDescent="0.2">
      <c r="A53" s="21" t="s">
        <v>13</v>
      </c>
      <c r="B53" s="289" t="s">
        <v>6</v>
      </c>
      <c r="C53" s="289"/>
      <c r="D53" s="289"/>
      <c r="E53" s="289"/>
      <c r="F53" s="289"/>
      <c r="G53" s="289"/>
      <c r="H53" s="88">
        <v>8.3299999999999999E-2</v>
      </c>
      <c r="I53" s="89">
        <f>ROUND(I41*H53,2)</f>
        <v>144.21</v>
      </c>
    </row>
    <row r="54" spans="1:9" ht="111" customHeight="1" x14ac:dyDescent="0.2">
      <c r="A54" s="21" t="s">
        <v>15</v>
      </c>
      <c r="B54" s="290" t="s">
        <v>192</v>
      </c>
      <c r="C54" s="291"/>
      <c r="D54" s="291"/>
      <c r="E54" s="291"/>
      <c r="F54" s="291"/>
      <c r="G54" s="291"/>
      <c r="H54" s="93">
        <v>3.0249999999999999E-2</v>
      </c>
      <c r="I54" s="89">
        <f>ROUND(I41*H54,2)</f>
        <v>52.37</v>
      </c>
    </row>
    <row r="55" spans="1:9" ht="15.75" customHeight="1" x14ac:dyDescent="0.2">
      <c r="A55" s="283" t="s">
        <v>50</v>
      </c>
      <c r="B55" s="283"/>
      <c r="C55" s="283"/>
      <c r="D55" s="283"/>
      <c r="E55" s="283"/>
      <c r="F55" s="283"/>
      <c r="G55" s="283"/>
      <c r="H55" s="283"/>
      <c r="I55" s="35">
        <f>SUM(I53+I54)</f>
        <v>196.58</v>
      </c>
    </row>
    <row r="56" spans="1:9" ht="60" customHeight="1" x14ac:dyDescent="0.2">
      <c r="A56" s="269" t="s">
        <v>191</v>
      </c>
      <c r="B56" s="269"/>
      <c r="C56" s="269"/>
      <c r="D56" s="269"/>
      <c r="E56" s="269"/>
      <c r="F56" s="269"/>
      <c r="G56" s="269"/>
      <c r="H56" s="269"/>
      <c r="I56" s="269"/>
    </row>
    <row r="57" spans="1:9" ht="7.5" customHeight="1" x14ac:dyDescent="0.2">
      <c r="A57" s="284"/>
      <c r="B57" s="284"/>
      <c r="C57" s="284"/>
      <c r="D57" s="284"/>
      <c r="E57" s="284"/>
      <c r="F57" s="284"/>
      <c r="G57" s="284"/>
      <c r="H57" s="284"/>
      <c r="I57" s="284"/>
    </row>
    <row r="58" spans="1:9" s="25" customFormat="1" ht="32.25" customHeight="1" x14ac:dyDescent="0.2">
      <c r="A58" s="285" t="s">
        <v>150</v>
      </c>
      <c r="B58" s="285"/>
      <c r="C58" s="285"/>
      <c r="D58" s="285"/>
      <c r="E58" s="285"/>
      <c r="F58" s="285"/>
      <c r="G58" s="285"/>
      <c r="H58" s="285"/>
      <c r="I58" s="285"/>
    </row>
    <row r="59" spans="1:9" s="25" customFormat="1" ht="27" customHeight="1" x14ac:dyDescent="0.2">
      <c r="A59" s="26" t="s">
        <v>51</v>
      </c>
      <c r="B59" s="272" t="s">
        <v>52</v>
      </c>
      <c r="C59" s="272"/>
      <c r="D59" s="272"/>
      <c r="E59" s="272"/>
      <c r="F59" s="272"/>
      <c r="G59" s="272"/>
      <c r="H59" s="5" t="s">
        <v>40</v>
      </c>
      <c r="I59" s="13" t="s">
        <v>53</v>
      </c>
    </row>
    <row r="60" spans="1:9" s="25" customFormat="1" ht="19.149999999999999" customHeight="1" x14ac:dyDescent="0.2">
      <c r="A60" s="28" t="s">
        <v>13</v>
      </c>
      <c r="B60" s="232" t="s">
        <v>54</v>
      </c>
      <c r="C60" s="232"/>
      <c r="D60" s="232"/>
      <c r="E60" s="232"/>
      <c r="F60" s="232"/>
      <c r="G60" s="232"/>
      <c r="H60" s="29">
        <v>0.2</v>
      </c>
      <c r="I60" s="30">
        <f>ROUND(($I$41+$I$55+$I$44)*H60,2)</f>
        <v>385.56</v>
      </c>
    </row>
    <row r="61" spans="1:9" s="25" customFormat="1" ht="19.149999999999999" customHeight="1" x14ac:dyDescent="0.2">
      <c r="A61" s="28" t="s">
        <v>15</v>
      </c>
      <c r="B61" s="232" t="s">
        <v>55</v>
      </c>
      <c r="C61" s="232"/>
      <c r="D61" s="232"/>
      <c r="E61" s="232"/>
      <c r="F61" s="232"/>
      <c r="G61" s="232"/>
      <c r="H61" s="31">
        <v>2.5000000000000001E-2</v>
      </c>
      <c r="I61" s="30">
        <f t="shared" ref="I61:I67" si="0">ROUND(($I$41+$I$55+$I$44)*H61,2)</f>
        <v>48.2</v>
      </c>
    </row>
    <row r="62" spans="1:9" s="25" customFormat="1" ht="56.65" customHeight="1" x14ac:dyDescent="0.2">
      <c r="A62" s="28" t="s">
        <v>17</v>
      </c>
      <c r="B62" s="282" t="s">
        <v>144</v>
      </c>
      <c r="C62" s="282"/>
      <c r="D62" s="32" t="s">
        <v>56</v>
      </c>
      <c r="E62" s="168">
        <v>0.03</v>
      </c>
      <c r="F62" s="32" t="s">
        <v>57</v>
      </c>
      <c r="G62" s="169">
        <v>1</v>
      </c>
      <c r="H62" s="33">
        <f>ROUND((E62*G62),6)</f>
        <v>0.03</v>
      </c>
      <c r="I62" s="30">
        <f t="shared" si="0"/>
        <v>57.83</v>
      </c>
    </row>
    <row r="63" spans="1:9" s="25" customFormat="1" ht="15.75" customHeight="1" x14ac:dyDescent="0.2">
      <c r="A63" s="28" t="s">
        <v>19</v>
      </c>
      <c r="B63" s="232" t="s">
        <v>58</v>
      </c>
      <c r="C63" s="232"/>
      <c r="D63" s="232"/>
      <c r="E63" s="232"/>
      <c r="F63" s="232"/>
      <c r="G63" s="232"/>
      <c r="H63" s="29">
        <v>1.4999999999999999E-2</v>
      </c>
      <c r="I63" s="30">
        <f t="shared" si="0"/>
        <v>28.92</v>
      </c>
    </row>
    <row r="64" spans="1:9" s="25" customFormat="1" ht="15.75" customHeight="1" x14ac:dyDescent="0.2">
      <c r="A64" s="28" t="s">
        <v>42</v>
      </c>
      <c r="B64" s="232" t="s">
        <v>59</v>
      </c>
      <c r="C64" s="232"/>
      <c r="D64" s="232"/>
      <c r="E64" s="232"/>
      <c r="F64" s="232"/>
      <c r="G64" s="232"/>
      <c r="H64" s="29">
        <v>0.01</v>
      </c>
      <c r="I64" s="30">
        <f t="shared" si="0"/>
        <v>19.28</v>
      </c>
    </row>
    <row r="65" spans="1:9" s="25" customFormat="1" ht="15.75" customHeight="1" x14ac:dyDescent="0.2">
      <c r="A65" s="28" t="s">
        <v>43</v>
      </c>
      <c r="B65" s="244" t="s">
        <v>60</v>
      </c>
      <c r="C65" s="244"/>
      <c r="D65" s="244"/>
      <c r="E65" s="244"/>
      <c r="F65" s="244"/>
      <c r="G65" s="244"/>
      <c r="H65" s="31">
        <v>6.0000000000000001E-3</v>
      </c>
      <c r="I65" s="30">
        <f t="shared" si="0"/>
        <v>11.57</v>
      </c>
    </row>
    <row r="66" spans="1:9" s="25" customFormat="1" ht="15.75" customHeight="1" x14ac:dyDescent="0.2">
      <c r="A66" s="28" t="s">
        <v>44</v>
      </c>
      <c r="B66" s="232" t="s">
        <v>61</v>
      </c>
      <c r="C66" s="232"/>
      <c r="D66" s="232"/>
      <c r="E66" s="232"/>
      <c r="F66" s="232"/>
      <c r="G66" s="232"/>
      <c r="H66" s="29">
        <v>2E-3</v>
      </c>
      <c r="I66" s="30">
        <f t="shared" si="0"/>
        <v>3.86</v>
      </c>
    </row>
    <row r="67" spans="1:9" ht="15.75" customHeight="1" x14ac:dyDescent="0.2">
      <c r="A67" s="28" t="s">
        <v>45</v>
      </c>
      <c r="B67" s="244" t="s">
        <v>62</v>
      </c>
      <c r="C67" s="244"/>
      <c r="D67" s="244"/>
      <c r="E67" s="244"/>
      <c r="F67" s="244"/>
      <c r="G67" s="244"/>
      <c r="H67" s="31">
        <v>0.08</v>
      </c>
      <c r="I67" s="30">
        <f t="shared" si="0"/>
        <v>154.22</v>
      </c>
    </row>
    <row r="68" spans="1:9" ht="15.75" customHeight="1" x14ac:dyDescent="0.2">
      <c r="A68" s="233" t="s">
        <v>50</v>
      </c>
      <c r="B68" s="233"/>
      <c r="C68" s="233"/>
      <c r="D68" s="233"/>
      <c r="E68" s="233"/>
      <c r="F68" s="233"/>
      <c r="G68" s="233"/>
      <c r="H68" s="34">
        <f>SUM(H60:H67)</f>
        <v>0.36800000000000005</v>
      </c>
      <c r="I68" s="35">
        <f>SUM(I60:I67)</f>
        <v>709.44</v>
      </c>
    </row>
    <row r="69" spans="1:9" ht="8.65" customHeight="1" x14ac:dyDescent="0.2">
      <c r="A69" s="36"/>
      <c r="B69" s="37"/>
      <c r="C69" s="37"/>
      <c r="D69" s="37"/>
      <c r="E69" s="37"/>
      <c r="F69" s="37"/>
      <c r="G69" s="37"/>
      <c r="H69" s="38"/>
      <c r="I69" s="39"/>
    </row>
    <row r="70" spans="1:9" ht="35.25" customHeight="1" x14ac:dyDescent="0.2">
      <c r="A70" s="278" t="s">
        <v>63</v>
      </c>
      <c r="B70" s="278"/>
      <c r="C70" s="278"/>
      <c r="D70" s="278"/>
      <c r="E70" s="278"/>
      <c r="F70" s="278"/>
      <c r="G70" s="278"/>
      <c r="H70" s="278"/>
      <c r="I70" s="278"/>
    </row>
    <row r="71" spans="1:9" ht="9.75" customHeight="1" x14ac:dyDescent="0.2">
      <c r="A71" s="277"/>
      <c r="B71" s="277"/>
      <c r="C71" s="277"/>
      <c r="D71" s="277"/>
      <c r="E71" s="277"/>
      <c r="F71" s="277"/>
      <c r="G71" s="277"/>
      <c r="H71" s="277"/>
      <c r="I71" s="277"/>
    </row>
    <row r="72" spans="1:9" ht="20.65" customHeight="1" x14ac:dyDescent="0.2">
      <c r="A72" s="250" t="s">
        <v>64</v>
      </c>
      <c r="B72" s="250"/>
      <c r="C72" s="250"/>
      <c r="D72" s="250"/>
      <c r="E72" s="250"/>
      <c r="F72" s="250"/>
      <c r="G72" s="250"/>
      <c r="H72" s="250"/>
      <c r="I72" s="250"/>
    </row>
    <row r="73" spans="1:9" ht="27" customHeight="1" x14ac:dyDescent="0.2">
      <c r="A73" s="40" t="s">
        <v>65</v>
      </c>
      <c r="B73" s="242" t="s">
        <v>66</v>
      </c>
      <c r="C73" s="242"/>
      <c r="D73" s="242"/>
      <c r="E73" s="242"/>
      <c r="F73" s="242"/>
      <c r="G73" s="242"/>
      <c r="H73" s="242"/>
      <c r="I73" s="13" t="s">
        <v>49</v>
      </c>
    </row>
    <row r="74" spans="1:9" ht="23.65" customHeight="1" x14ac:dyDescent="0.2">
      <c r="A74" s="41" t="s">
        <v>13</v>
      </c>
      <c r="B74" s="261" t="s">
        <v>67</v>
      </c>
      <c r="C74" s="261"/>
      <c r="D74" s="261"/>
      <c r="E74" s="261"/>
      <c r="F74" s="261"/>
      <c r="G74" s="261"/>
      <c r="H74" s="261"/>
      <c r="I74" s="42">
        <f>IF(ROUND((H75*H77*H76)-(I37*H78),2)&lt;0,0,ROUND((H75*H77*H76)-(I37*H78),2))</f>
        <v>158.13999999999999</v>
      </c>
    </row>
    <row r="75" spans="1:9" ht="27.6" customHeight="1" x14ac:dyDescent="0.2">
      <c r="A75" s="41"/>
      <c r="B75" s="261" t="s">
        <v>251</v>
      </c>
      <c r="C75" s="261"/>
      <c r="D75" s="261"/>
      <c r="E75" s="261"/>
      <c r="F75" s="261"/>
      <c r="G75" s="261"/>
      <c r="H75" s="170">
        <v>4.95</v>
      </c>
      <c r="I75" s="43" t="s">
        <v>24</v>
      </c>
    </row>
    <row r="76" spans="1:9" ht="20.100000000000001" customHeight="1" x14ac:dyDescent="0.2">
      <c r="A76" s="41"/>
      <c r="B76" s="244" t="s">
        <v>68</v>
      </c>
      <c r="C76" s="244"/>
      <c r="D76" s="244"/>
      <c r="E76" s="244"/>
      <c r="F76" s="244"/>
      <c r="G76" s="244"/>
      <c r="H76" s="44">
        <v>2</v>
      </c>
      <c r="I76" s="43" t="s">
        <v>24</v>
      </c>
    </row>
    <row r="77" spans="1:9" ht="20.100000000000001" customHeight="1" x14ac:dyDescent="0.2">
      <c r="A77" s="41"/>
      <c r="B77" s="281" t="s">
        <v>69</v>
      </c>
      <c r="C77" s="281"/>
      <c r="D77" s="281"/>
      <c r="E77" s="281"/>
      <c r="F77" s="281"/>
      <c r="G77" s="281"/>
      <c r="H77" s="45">
        <v>26</v>
      </c>
      <c r="I77" s="43"/>
    </row>
    <row r="78" spans="1:9" ht="26.1" customHeight="1" x14ac:dyDescent="0.2">
      <c r="A78" s="41"/>
      <c r="B78" s="281" t="s">
        <v>239</v>
      </c>
      <c r="C78" s="281"/>
      <c r="D78" s="281"/>
      <c r="E78" s="281"/>
      <c r="F78" s="281"/>
      <c r="G78" s="281"/>
      <c r="H78" s="46">
        <v>0.06</v>
      </c>
      <c r="I78" s="43"/>
    </row>
    <row r="79" spans="1:9" ht="14.65" customHeight="1" x14ac:dyDescent="0.2">
      <c r="A79" s="41" t="s">
        <v>15</v>
      </c>
      <c r="B79" s="261" t="s">
        <v>70</v>
      </c>
      <c r="C79" s="261"/>
      <c r="D79" s="261"/>
      <c r="E79" s="261"/>
      <c r="F79" s="261"/>
      <c r="G79" s="261"/>
      <c r="H79" s="261"/>
      <c r="I79" s="47">
        <f>ROUND(H81*H80*(1-H82),2)*1+ROUND(21.726*6*(1-H82),2)*0</f>
        <v>561.6</v>
      </c>
    </row>
    <row r="80" spans="1:9" ht="15.75" customHeight="1" x14ac:dyDescent="0.2">
      <c r="A80" s="41"/>
      <c r="B80" s="261" t="s">
        <v>238</v>
      </c>
      <c r="C80" s="261"/>
      <c r="D80" s="261"/>
      <c r="E80" s="261"/>
      <c r="F80" s="261"/>
      <c r="G80" s="261"/>
      <c r="H80" s="170">
        <v>27</v>
      </c>
      <c r="I80" s="43" t="s">
        <v>24</v>
      </c>
    </row>
    <row r="81" spans="1:9" ht="15.75" customHeight="1" x14ac:dyDescent="0.2">
      <c r="A81" s="41"/>
      <c r="B81" s="261" t="s">
        <v>71</v>
      </c>
      <c r="C81" s="261"/>
      <c r="D81" s="261"/>
      <c r="E81" s="261"/>
      <c r="F81" s="261"/>
      <c r="G81" s="261"/>
      <c r="H81" s="45">
        <v>26</v>
      </c>
      <c r="I81" s="43"/>
    </row>
    <row r="82" spans="1:9" ht="22.5" customHeight="1" x14ac:dyDescent="0.2">
      <c r="A82" s="41"/>
      <c r="B82" s="281" t="s">
        <v>237</v>
      </c>
      <c r="C82" s="281"/>
      <c r="D82" s="281"/>
      <c r="E82" s="281"/>
      <c r="F82" s="281"/>
      <c r="G82" s="281"/>
      <c r="H82" s="46">
        <v>0.2</v>
      </c>
      <c r="I82" s="43"/>
    </row>
    <row r="83" spans="1:9" ht="15.75" customHeight="1" x14ac:dyDescent="0.2">
      <c r="A83" s="41" t="s">
        <v>17</v>
      </c>
      <c r="B83" s="261" t="s">
        <v>72</v>
      </c>
      <c r="C83" s="261"/>
      <c r="D83" s="261"/>
      <c r="E83" s="261"/>
      <c r="F83" s="261"/>
      <c r="G83" s="261"/>
      <c r="H83" s="261"/>
      <c r="I83" s="42">
        <v>0</v>
      </c>
    </row>
    <row r="84" spans="1:9" ht="34.5" customHeight="1" x14ac:dyDescent="0.2">
      <c r="A84" s="41" t="s">
        <v>19</v>
      </c>
      <c r="B84" s="261" t="s">
        <v>240</v>
      </c>
      <c r="C84" s="261"/>
      <c r="D84" s="261"/>
      <c r="E84" s="261"/>
      <c r="F84" s="261"/>
      <c r="G84" s="261"/>
      <c r="H84" s="261"/>
      <c r="I84" s="42">
        <f>ROUND(I41*26*0.00023,2)</f>
        <v>10.35</v>
      </c>
    </row>
    <row r="85" spans="1:9" s="25" customFormat="1" ht="31.5" customHeight="1" x14ac:dyDescent="0.2">
      <c r="A85" s="41" t="s">
        <v>42</v>
      </c>
      <c r="B85" s="244" t="s">
        <v>241</v>
      </c>
      <c r="C85" s="244"/>
      <c r="D85" s="244"/>
      <c r="E85" s="244"/>
      <c r="F85" s="244"/>
      <c r="G85" s="244"/>
      <c r="H85" s="244"/>
      <c r="I85" s="42">
        <f>ROUND(($I$37*0.0052066)/12,2)</f>
        <v>0.72</v>
      </c>
    </row>
    <row r="86" spans="1:9" s="25" customFormat="1" ht="31.5" customHeight="1" x14ac:dyDescent="0.2">
      <c r="A86" s="41" t="s">
        <v>43</v>
      </c>
      <c r="B86" s="244" t="s">
        <v>243</v>
      </c>
      <c r="C86" s="244"/>
      <c r="D86" s="244"/>
      <c r="E86" s="244"/>
      <c r="F86" s="244"/>
      <c r="G86" s="244"/>
      <c r="H86" s="244"/>
      <c r="I86" s="42">
        <f>ROUND(($I$37*0.1),2)</f>
        <v>165.44</v>
      </c>
    </row>
    <row r="87" spans="1:9" s="25" customFormat="1" ht="18.399999999999999" customHeight="1" x14ac:dyDescent="0.2">
      <c r="A87" s="49"/>
      <c r="B87" s="276" t="s">
        <v>50</v>
      </c>
      <c r="C87" s="276"/>
      <c r="D87" s="276"/>
      <c r="E87" s="276"/>
      <c r="F87" s="276"/>
      <c r="G87" s="276"/>
      <c r="H87" s="276"/>
      <c r="I87" s="35">
        <f>SUM(I74:I86)</f>
        <v>896.25</v>
      </c>
    </row>
    <row r="88" spans="1:9" s="25" customFormat="1" ht="9.4" customHeight="1" x14ac:dyDescent="0.2">
      <c r="A88" s="277"/>
      <c r="B88" s="277"/>
      <c r="C88" s="277"/>
      <c r="D88" s="277"/>
      <c r="E88" s="277"/>
      <c r="F88" s="277"/>
      <c r="G88" s="277"/>
      <c r="H88" s="277"/>
      <c r="I88" s="277"/>
    </row>
    <row r="89" spans="1:9" s="25" customFormat="1" ht="32.65" customHeight="1" x14ac:dyDescent="0.2">
      <c r="A89" s="278" t="s">
        <v>74</v>
      </c>
      <c r="B89" s="278"/>
      <c r="C89" s="278"/>
      <c r="D89" s="278"/>
      <c r="E89" s="278"/>
      <c r="F89" s="278"/>
      <c r="G89" s="278"/>
      <c r="H89" s="278"/>
      <c r="I89" s="278"/>
    </row>
    <row r="90" spans="1:9" s="25" customFormat="1" ht="8.65" customHeight="1" x14ac:dyDescent="0.2">
      <c r="A90" s="279"/>
      <c r="B90" s="279"/>
      <c r="C90" s="279"/>
      <c r="D90" s="279"/>
      <c r="E90" s="279"/>
      <c r="F90" s="279"/>
      <c r="G90" s="279"/>
      <c r="H90" s="279"/>
      <c r="I90" s="279"/>
    </row>
    <row r="91" spans="1:9" s="25" customFormat="1" ht="17.25" customHeight="1" x14ac:dyDescent="0.2">
      <c r="A91" s="280" t="s">
        <v>75</v>
      </c>
      <c r="B91" s="280"/>
      <c r="C91" s="280"/>
      <c r="D91" s="280"/>
      <c r="E91" s="280"/>
      <c r="F91" s="280"/>
      <c r="G91" s="280"/>
      <c r="H91" s="280"/>
      <c r="I91" s="280"/>
    </row>
    <row r="92" spans="1:9" s="25" customFormat="1" ht="16.149999999999999" customHeight="1" x14ac:dyDescent="0.2">
      <c r="A92" s="27">
        <v>2</v>
      </c>
      <c r="B92" s="272" t="s">
        <v>76</v>
      </c>
      <c r="C92" s="272"/>
      <c r="D92" s="272"/>
      <c r="E92" s="272"/>
      <c r="F92" s="272"/>
      <c r="G92" s="272"/>
      <c r="H92" s="272"/>
      <c r="I92" s="27" t="s">
        <v>49</v>
      </c>
    </row>
    <row r="93" spans="1:9" s="25" customFormat="1" ht="14.85" customHeight="1" x14ac:dyDescent="0.2">
      <c r="A93" s="50" t="s">
        <v>48</v>
      </c>
      <c r="B93" s="273" t="s">
        <v>7</v>
      </c>
      <c r="C93" s="273"/>
      <c r="D93" s="273"/>
      <c r="E93" s="273"/>
      <c r="F93" s="273"/>
      <c r="G93" s="273"/>
      <c r="H93" s="273"/>
      <c r="I93" s="51">
        <f>I55</f>
        <v>196.58</v>
      </c>
    </row>
    <row r="94" spans="1:9" s="25" customFormat="1" ht="14.65" customHeight="1" x14ac:dyDescent="0.2">
      <c r="A94" s="50" t="s">
        <v>51</v>
      </c>
      <c r="B94" s="273" t="s">
        <v>52</v>
      </c>
      <c r="C94" s="273"/>
      <c r="D94" s="273"/>
      <c r="E94" s="273"/>
      <c r="F94" s="273"/>
      <c r="G94" s="273"/>
      <c r="H94" s="273"/>
      <c r="I94" s="51">
        <f>I68</f>
        <v>709.44</v>
      </c>
    </row>
    <row r="95" spans="1:9" s="25" customFormat="1" ht="14.65" customHeight="1" x14ac:dyDescent="0.2">
      <c r="A95" s="50" t="s">
        <v>65</v>
      </c>
      <c r="B95" s="273" t="s">
        <v>66</v>
      </c>
      <c r="C95" s="273"/>
      <c r="D95" s="273"/>
      <c r="E95" s="273"/>
      <c r="F95" s="273"/>
      <c r="G95" s="273"/>
      <c r="H95" s="273"/>
      <c r="I95" s="51">
        <f>I87</f>
        <v>896.25</v>
      </c>
    </row>
    <row r="96" spans="1:9" s="25" customFormat="1" ht="14.65" customHeight="1" x14ac:dyDescent="0.2">
      <c r="A96" s="274" t="s">
        <v>50</v>
      </c>
      <c r="B96" s="274"/>
      <c r="C96" s="274"/>
      <c r="D96" s="274"/>
      <c r="E96" s="274"/>
      <c r="F96" s="274"/>
      <c r="G96" s="274"/>
      <c r="H96" s="274"/>
      <c r="I96" s="52">
        <f>SUM(I93+I94+I95)</f>
        <v>1802.27</v>
      </c>
    </row>
    <row r="97" spans="1:10" s="25" customFormat="1" ht="8.65" customHeight="1" x14ac:dyDescent="0.2">
      <c r="A97" s="275"/>
      <c r="B97" s="275"/>
      <c r="C97" s="275"/>
      <c r="D97" s="275"/>
      <c r="E97" s="275"/>
      <c r="F97" s="275"/>
      <c r="G97" s="275"/>
      <c r="H97" s="275"/>
      <c r="I97" s="275"/>
    </row>
    <row r="98" spans="1:10" s="25" customFormat="1" ht="20.65" customHeight="1" x14ac:dyDescent="0.2">
      <c r="A98" s="240" t="s">
        <v>77</v>
      </c>
      <c r="B98" s="240"/>
      <c r="C98" s="240"/>
      <c r="D98" s="240"/>
      <c r="E98" s="240"/>
      <c r="F98" s="240"/>
      <c r="G98" s="240"/>
      <c r="H98" s="240"/>
      <c r="I98" s="240"/>
    </row>
    <row r="99" spans="1:10" s="25" customFormat="1" ht="15" x14ac:dyDescent="0.2">
      <c r="A99" s="40">
        <v>3</v>
      </c>
      <c r="B99" s="241" t="s">
        <v>78</v>
      </c>
      <c r="C99" s="241"/>
      <c r="D99" s="241"/>
      <c r="E99" s="241"/>
      <c r="F99" s="241"/>
      <c r="G99" s="241"/>
      <c r="H99" s="241"/>
      <c r="I99" s="40" t="s">
        <v>49</v>
      </c>
    </row>
    <row r="100" spans="1:10" s="25" customFormat="1" ht="70.150000000000006" customHeight="1" x14ac:dyDescent="0.2">
      <c r="A100" s="41" t="s">
        <v>13</v>
      </c>
      <c r="B100" s="230" t="s">
        <v>189</v>
      </c>
      <c r="C100" s="230"/>
      <c r="D100" s="230"/>
      <c r="E100" s="230"/>
      <c r="F100" s="230"/>
      <c r="G100" s="230"/>
      <c r="H100" s="230"/>
      <c r="I100" s="171">
        <f>ROUND(((I41/12)+($I$53/12)+(I41*0.121/12))*(30/30)*5%,2)</f>
        <v>8.69</v>
      </c>
    </row>
    <row r="101" spans="1:10" s="25" customFormat="1" ht="14.65" customHeight="1" x14ac:dyDescent="0.2">
      <c r="A101" s="41" t="s">
        <v>15</v>
      </c>
      <c r="B101" s="271" t="s">
        <v>79</v>
      </c>
      <c r="C101" s="271"/>
      <c r="D101" s="271"/>
      <c r="E101" s="271"/>
      <c r="F101" s="271"/>
      <c r="G101" s="271"/>
      <c r="H101" s="271"/>
      <c r="I101" s="30">
        <f>ROUND($H$67*I100,2)</f>
        <v>0.7</v>
      </c>
    </row>
    <row r="102" spans="1:10" s="25" customFormat="1" ht="110.1" customHeight="1" x14ac:dyDescent="0.2">
      <c r="A102" s="41" t="s">
        <v>17</v>
      </c>
      <c r="B102" s="232" t="s">
        <v>190</v>
      </c>
      <c r="C102" s="232"/>
      <c r="D102" s="232"/>
      <c r="E102" s="232"/>
      <c r="F102" s="232"/>
      <c r="G102" s="232"/>
      <c r="H102" s="232"/>
      <c r="I102" s="171">
        <f>ROUND(($I$41*(7/30)/12*(30/30))*100%,2)</f>
        <v>33.659999999999997</v>
      </c>
    </row>
    <row r="103" spans="1:10" s="25" customFormat="1" ht="20.100000000000001" customHeight="1" x14ac:dyDescent="0.2">
      <c r="A103" s="41" t="s">
        <v>19</v>
      </c>
      <c r="B103" s="271" t="s">
        <v>80</v>
      </c>
      <c r="C103" s="271"/>
      <c r="D103" s="271"/>
      <c r="E103" s="271"/>
      <c r="F103" s="271"/>
      <c r="G103" s="271"/>
      <c r="H103" s="271"/>
      <c r="I103" s="30">
        <f>ROUND($H$68*I102,2)</f>
        <v>12.39</v>
      </c>
    </row>
    <row r="104" spans="1:10" s="25" customFormat="1" ht="36.75" customHeight="1" x14ac:dyDescent="0.2">
      <c r="A104" s="41" t="s">
        <v>42</v>
      </c>
      <c r="B104" s="232" t="s">
        <v>8</v>
      </c>
      <c r="C104" s="232"/>
      <c r="D104" s="232"/>
      <c r="E104" s="232"/>
      <c r="F104" s="232"/>
      <c r="G104" s="232"/>
      <c r="H104" s="92">
        <v>0.04</v>
      </c>
      <c r="I104" s="30">
        <f>ROUND(I41*H104,2)</f>
        <v>69.25</v>
      </c>
    </row>
    <row r="105" spans="1:10" s="25" customFormat="1" ht="15.75" customHeight="1" x14ac:dyDescent="0.2">
      <c r="A105" s="233" t="s">
        <v>81</v>
      </c>
      <c r="B105" s="233"/>
      <c r="C105" s="233"/>
      <c r="D105" s="233"/>
      <c r="E105" s="233"/>
      <c r="F105" s="233"/>
      <c r="G105" s="233"/>
      <c r="H105" s="233"/>
      <c r="I105" s="35">
        <f>SUM(I100:I104)</f>
        <v>124.69</v>
      </c>
    </row>
    <row r="106" spans="1:10" s="25" customFormat="1" ht="9.4" customHeight="1" x14ac:dyDescent="0.2">
      <c r="A106" s="222"/>
      <c r="B106" s="222"/>
      <c r="C106" s="222"/>
      <c r="D106" s="222"/>
      <c r="E106" s="222"/>
      <c r="F106" s="222"/>
      <c r="G106" s="222"/>
      <c r="H106" s="222"/>
      <c r="I106" s="222"/>
    </row>
    <row r="107" spans="1:10" ht="24" customHeight="1" x14ac:dyDescent="0.2">
      <c r="A107" s="249" t="s">
        <v>82</v>
      </c>
      <c r="B107" s="249"/>
      <c r="C107" s="249"/>
      <c r="D107" s="249"/>
      <c r="E107" s="249"/>
      <c r="F107" s="249"/>
      <c r="G107" s="249"/>
      <c r="H107" s="249"/>
      <c r="I107" s="249"/>
    </row>
    <row r="108" spans="1:10" ht="24.75" customHeight="1" x14ac:dyDescent="0.2">
      <c r="A108" s="269" t="s">
        <v>83</v>
      </c>
      <c r="B108" s="269"/>
      <c r="C108" s="269"/>
      <c r="D108" s="269"/>
      <c r="E108" s="269"/>
      <c r="F108" s="269"/>
      <c r="G108" s="269"/>
      <c r="H108" s="269"/>
      <c r="I108" s="269"/>
    </row>
    <row r="109" spans="1:10" ht="56.1" customHeight="1" x14ac:dyDescent="0.2">
      <c r="A109" s="270" t="s">
        <v>151</v>
      </c>
      <c r="B109" s="270"/>
      <c r="C109" s="270"/>
      <c r="D109" s="270"/>
      <c r="E109" s="270"/>
      <c r="F109" s="270"/>
      <c r="G109" s="270"/>
      <c r="H109" s="270"/>
      <c r="I109" s="270"/>
    </row>
    <row r="110" spans="1:10" ht="7.5" customHeight="1" x14ac:dyDescent="0.2">
      <c r="A110" s="264"/>
      <c r="B110" s="264"/>
      <c r="C110" s="264"/>
      <c r="D110" s="264"/>
      <c r="E110" s="264"/>
      <c r="F110" s="264"/>
      <c r="G110" s="264"/>
      <c r="H110" s="264"/>
      <c r="I110" s="264"/>
    </row>
    <row r="111" spans="1:10" ht="59.1" customHeight="1" x14ac:dyDescent="0.2">
      <c r="A111" s="53" t="s">
        <v>84</v>
      </c>
      <c r="B111" s="54">
        <f>I41</f>
        <v>1731.22</v>
      </c>
      <c r="C111" s="90"/>
      <c r="D111" s="53" t="s">
        <v>143</v>
      </c>
      <c r="E111" s="54">
        <f>I96-I74-I79 +I115</f>
        <v>1297.4564800000003</v>
      </c>
      <c r="F111" s="91"/>
      <c r="G111" s="53" t="s">
        <v>85</v>
      </c>
      <c r="H111" s="54">
        <f>I105</f>
        <v>124.69</v>
      </c>
      <c r="I111" s="55">
        <f>B111+E111+H111</f>
        <v>3153.3664800000001</v>
      </c>
      <c r="J111" s="18"/>
    </row>
    <row r="112" spans="1:10" ht="7.5" customHeight="1" x14ac:dyDescent="0.2">
      <c r="A112" s="265"/>
      <c r="B112" s="265"/>
      <c r="C112" s="265"/>
      <c r="D112" s="265"/>
      <c r="E112" s="265"/>
      <c r="F112" s="265"/>
      <c r="G112" s="265"/>
      <c r="H112" s="265"/>
      <c r="I112" s="265"/>
    </row>
    <row r="113" spans="1:11" ht="24" customHeight="1" x14ac:dyDescent="0.2">
      <c r="A113" s="266" t="s">
        <v>9</v>
      </c>
      <c r="B113" s="266"/>
      <c r="C113" s="266"/>
      <c r="D113" s="266"/>
      <c r="E113" s="266"/>
      <c r="F113" s="266"/>
      <c r="G113" s="266"/>
      <c r="H113" s="266"/>
      <c r="I113" s="266"/>
    </row>
    <row r="114" spans="1:11" ht="24" customHeight="1" x14ac:dyDescent="0.25">
      <c r="A114" s="56" t="s">
        <v>86</v>
      </c>
      <c r="B114" s="241" t="s">
        <v>87</v>
      </c>
      <c r="C114" s="241"/>
      <c r="D114" s="241"/>
      <c r="E114" s="241"/>
      <c r="F114" s="241"/>
      <c r="G114" s="241"/>
      <c r="H114" s="241"/>
      <c r="I114" s="56" t="s">
        <v>49</v>
      </c>
    </row>
    <row r="115" spans="1:11" ht="64.150000000000006" customHeight="1" x14ac:dyDescent="0.2">
      <c r="A115" s="87" t="s">
        <v>13</v>
      </c>
      <c r="B115" s="267" t="s">
        <v>141</v>
      </c>
      <c r="C115" s="268"/>
      <c r="D115" s="268"/>
      <c r="E115" s="268"/>
      <c r="F115" s="268"/>
      <c r="G115" s="95">
        <v>9.0749999999999997E-2</v>
      </c>
      <c r="H115" s="94">
        <f>H68</f>
        <v>0.36800000000000005</v>
      </c>
      <c r="I115" s="30">
        <f>ROUND(G115*I41,2)*(1+H115)</f>
        <v>214.92648000000003</v>
      </c>
      <c r="J115" s="18"/>
    </row>
    <row r="116" spans="1:11" ht="30" customHeight="1" x14ac:dyDescent="0.2">
      <c r="A116" s="41" t="s">
        <v>15</v>
      </c>
      <c r="B116" s="254" t="s">
        <v>147</v>
      </c>
      <c r="C116" s="254"/>
      <c r="D116" s="254"/>
      <c r="E116" s="254"/>
      <c r="F116" s="254"/>
      <c r="G116" s="254"/>
      <c r="H116" s="254"/>
      <c r="I116" s="30">
        <f>ROUND((1/30)/12*(I111),2)</f>
        <v>8.76</v>
      </c>
      <c r="K116" s="18"/>
    </row>
    <row r="117" spans="1:11" ht="32.1" customHeight="1" x14ac:dyDescent="0.2">
      <c r="A117" s="41" t="s">
        <v>17</v>
      </c>
      <c r="B117" s="254" t="s">
        <v>145</v>
      </c>
      <c r="C117" s="254"/>
      <c r="D117" s="254"/>
      <c r="E117" s="254"/>
      <c r="F117" s="254"/>
      <c r="G117" s="254"/>
      <c r="H117" s="254"/>
      <c r="I117" s="30">
        <f>ROUND((5/30)/12*0.015*(I111),2)</f>
        <v>0.66</v>
      </c>
    </row>
    <row r="118" spans="1:11" ht="31.15" customHeight="1" x14ac:dyDescent="0.2">
      <c r="A118" s="41" t="s">
        <v>19</v>
      </c>
      <c r="B118" s="255" t="s">
        <v>149</v>
      </c>
      <c r="C118" s="256"/>
      <c r="D118" s="256"/>
      <c r="E118" s="256"/>
      <c r="F118" s="256"/>
      <c r="G118" s="256"/>
      <c r="H118" s="257"/>
      <c r="I118" s="30">
        <f>ROUND(((($I$111)/30)*0.69)/12,2)</f>
        <v>6.04</v>
      </c>
    </row>
    <row r="119" spans="1:11" ht="78" customHeight="1" x14ac:dyDescent="0.2">
      <c r="A119" s="96" t="s">
        <v>42</v>
      </c>
      <c r="B119" s="258" t="s">
        <v>146</v>
      </c>
      <c r="C119" s="259"/>
      <c r="D119" s="259"/>
      <c r="E119" s="259"/>
      <c r="F119" s="259"/>
      <c r="G119" s="259"/>
      <c r="H119" s="260"/>
      <c r="I119" s="42">
        <f>ROUND((((B111*0.121)+(H68)*(B111*0.121))*(4/12))*0.02,2)+ROUND(((H67*B111 + H68*I53+I87-I74-I79+I105)*4/12)*0.02,2)</f>
        <v>5.2</v>
      </c>
    </row>
    <row r="120" spans="1:11" ht="39" customHeight="1" x14ac:dyDescent="0.2">
      <c r="A120" s="41" t="s">
        <v>43</v>
      </c>
      <c r="B120" s="261" t="s">
        <v>148</v>
      </c>
      <c r="C120" s="219"/>
      <c r="D120" s="219"/>
      <c r="E120" s="219"/>
      <c r="F120" s="219"/>
      <c r="G120" s="219"/>
      <c r="H120" s="262"/>
      <c r="I120" s="30">
        <f>ROUND(((3/30)/12)*(I111),2)</f>
        <v>26.28</v>
      </c>
    </row>
    <row r="121" spans="1:11" ht="15.75" customHeight="1" x14ac:dyDescent="0.2">
      <c r="A121" s="233" t="s">
        <v>50</v>
      </c>
      <c r="B121" s="233"/>
      <c r="C121" s="233"/>
      <c r="D121" s="233"/>
      <c r="E121" s="233"/>
      <c r="F121" s="233"/>
      <c r="G121" s="233"/>
      <c r="H121" s="233"/>
      <c r="I121" s="35">
        <f>SUM(I115:I120)</f>
        <v>261.86648000000002</v>
      </c>
    </row>
    <row r="122" spans="1:11" ht="9.4" customHeight="1" x14ac:dyDescent="0.2">
      <c r="A122" s="263"/>
      <c r="B122" s="263"/>
      <c r="C122" s="263"/>
      <c r="D122" s="263"/>
      <c r="E122" s="263"/>
      <c r="F122" s="263"/>
      <c r="G122" s="263"/>
      <c r="H122" s="263"/>
      <c r="I122" s="263"/>
    </row>
    <row r="123" spans="1:11" ht="15.75" customHeight="1" x14ac:dyDescent="0.2">
      <c r="A123" s="250" t="s">
        <v>88</v>
      </c>
      <c r="B123" s="250"/>
      <c r="C123" s="250"/>
      <c r="D123" s="250"/>
      <c r="E123" s="250"/>
      <c r="F123" s="250"/>
      <c r="G123" s="250"/>
      <c r="H123" s="250"/>
      <c r="I123" s="250"/>
    </row>
    <row r="124" spans="1:11" ht="15.75" customHeight="1" x14ac:dyDescent="0.2">
      <c r="A124" s="57" t="s">
        <v>89</v>
      </c>
      <c r="B124" s="246" t="s">
        <v>90</v>
      </c>
      <c r="C124" s="246"/>
      <c r="D124" s="246"/>
      <c r="E124" s="246"/>
      <c r="F124" s="246"/>
      <c r="G124" s="246"/>
      <c r="H124" s="246"/>
      <c r="I124" s="58" t="s">
        <v>49</v>
      </c>
    </row>
    <row r="125" spans="1:11" ht="15.75" customHeight="1" x14ac:dyDescent="0.2">
      <c r="A125" s="23" t="s">
        <v>13</v>
      </c>
      <c r="B125" s="247" t="s">
        <v>91</v>
      </c>
      <c r="C125" s="247"/>
      <c r="D125" s="247"/>
      <c r="E125" s="247"/>
      <c r="F125" s="247"/>
      <c r="G125" s="247"/>
      <c r="H125" s="247"/>
      <c r="I125" s="59">
        <v>0</v>
      </c>
    </row>
    <row r="126" spans="1:11" ht="15.75" customHeight="1" x14ac:dyDescent="0.2">
      <c r="A126" s="251" t="s">
        <v>50</v>
      </c>
      <c r="B126" s="251"/>
      <c r="C126" s="251"/>
      <c r="D126" s="251"/>
      <c r="E126" s="251"/>
      <c r="F126" s="251"/>
      <c r="G126" s="251"/>
      <c r="H126" s="251"/>
      <c r="I126" s="59">
        <v>0</v>
      </c>
    </row>
    <row r="127" spans="1:11" ht="7.5" customHeight="1" x14ac:dyDescent="0.2">
      <c r="A127" s="252"/>
      <c r="B127" s="252"/>
      <c r="C127" s="252"/>
      <c r="D127" s="252"/>
      <c r="E127" s="252"/>
      <c r="F127" s="252"/>
      <c r="G127" s="252"/>
      <c r="H127" s="252"/>
      <c r="I127" s="252"/>
    </row>
    <row r="128" spans="1:11" ht="23.65" customHeight="1" x14ac:dyDescent="0.2">
      <c r="A128" s="253" t="s">
        <v>92</v>
      </c>
      <c r="B128" s="253"/>
      <c r="C128" s="253"/>
      <c r="D128" s="253"/>
      <c r="E128" s="253"/>
      <c r="F128" s="253"/>
      <c r="G128" s="253"/>
      <c r="H128" s="253"/>
      <c r="I128" s="253"/>
    </row>
    <row r="129" spans="1:9" ht="23.65" customHeight="1" x14ac:dyDescent="0.2">
      <c r="A129" s="27">
        <v>4</v>
      </c>
      <c r="B129" s="246" t="s">
        <v>93</v>
      </c>
      <c r="C129" s="246"/>
      <c r="D129" s="246"/>
      <c r="E129" s="246"/>
      <c r="F129" s="246"/>
      <c r="G129" s="246"/>
      <c r="H129" s="246"/>
      <c r="I129" s="58" t="s">
        <v>49</v>
      </c>
    </row>
    <row r="130" spans="1:9" ht="19.149999999999999" customHeight="1" x14ac:dyDescent="0.2">
      <c r="A130" s="60" t="s">
        <v>86</v>
      </c>
      <c r="B130" s="247" t="s">
        <v>87</v>
      </c>
      <c r="C130" s="247"/>
      <c r="D130" s="247"/>
      <c r="E130" s="247"/>
      <c r="F130" s="247"/>
      <c r="G130" s="247"/>
      <c r="H130" s="247"/>
      <c r="I130" s="59">
        <f>I121</f>
        <v>261.86648000000002</v>
      </c>
    </row>
    <row r="131" spans="1:9" ht="21.75" customHeight="1" x14ac:dyDescent="0.2">
      <c r="A131" s="60" t="s">
        <v>94</v>
      </c>
      <c r="B131" s="247" t="s">
        <v>90</v>
      </c>
      <c r="C131" s="247"/>
      <c r="D131" s="247"/>
      <c r="E131" s="247"/>
      <c r="F131" s="247"/>
      <c r="G131" s="247"/>
      <c r="H131" s="247"/>
      <c r="I131" s="59">
        <f>I126</f>
        <v>0</v>
      </c>
    </row>
    <row r="132" spans="1:9" ht="23.65" customHeight="1" x14ac:dyDescent="0.2">
      <c r="A132" s="248" t="s">
        <v>50</v>
      </c>
      <c r="B132" s="248"/>
      <c r="C132" s="248"/>
      <c r="D132" s="248"/>
      <c r="E132" s="248"/>
      <c r="F132" s="248"/>
      <c r="G132" s="248"/>
      <c r="H132" s="248"/>
      <c r="I132" s="24">
        <f>SUM(I130+I131)</f>
        <v>261.86648000000002</v>
      </c>
    </row>
    <row r="133" spans="1:9" ht="7.5" customHeight="1" x14ac:dyDescent="0.2">
      <c r="A133" s="222"/>
      <c r="B133" s="222"/>
      <c r="C133" s="222"/>
      <c r="D133" s="222"/>
      <c r="E133" s="222"/>
      <c r="F133" s="222"/>
      <c r="G133" s="222"/>
      <c r="H133" s="222"/>
      <c r="I133" s="222"/>
    </row>
    <row r="134" spans="1:9" s="25" customFormat="1" ht="27.75" customHeight="1" x14ac:dyDescent="0.2">
      <c r="A134" s="249" t="s">
        <v>95</v>
      </c>
      <c r="B134" s="249"/>
      <c r="C134" s="249"/>
      <c r="D134" s="249"/>
      <c r="E134" s="249"/>
      <c r="F134" s="249"/>
      <c r="G134" s="249"/>
      <c r="H134" s="249"/>
      <c r="I134" s="249"/>
    </row>
    <row r="135" spans="1:9" ht="27" customHeight="1" x14ac:dyDescent="0.2">
      <c r="A135" s="40">
        <v>3</v>
      </c>
      <c r="B135" s="242" t="s">
        <v>96</v>
      </c>
      <c r="C135" s="242"/>
      <c r="D135" s="242"/>
      <c r="E135" s="242"/>
      <c r="F135" s="242"/>
      <c r="G135" s="242"/>
      <c r="H135" s="242"/>
      <c r="I135" s="40" t="s">
        <v>49</v>
      </c>
    </row>
    <row r="136" spans="1:9" ht="27.6" customHeight="1" x14ac:dyDescent="0.2">
      <c r="A136" s="41" t="s">
        <v>13</v>
      </c>
      <c r="B136" s="243" t="s">
        <v>208</v>
      </c>
      <c r="C136" s="243"/>
      <c r="D136" s="243"/>
      <c r="E136" s="243"/>
      <c r="F136" s="243"/>
      <c r="G136" s="243"/>
      <c r="H136" s="243"/>
      <c r="I136" s="134">
        <f>'INSUMOS DOS POSTOS'!J46</f>
        <v>0.57999999999999996</v>
      </c>
    </row>
    <row r="137" spans="1:9" ht="15.75" customHeight="1" x14ac:dyDescent="0.2">
      <c r="A137" s="41" t="s">
        <v>15</v>
      </c>
      <c r="B137" s="243" t="s">
        <v>209</v>
      </c>
      <c r="C137" s="243"/>
      <c r="D137" s="243"/>
      <c r="E137" s="243"/>
      <c r="F137" s="243"/>
      <c r="G137" s="243"/>
      <c r="H137" s="243"/>
      <c r="I137" s="135">
        <f>'INSUMOS DOS POSTOS'!J47</f>
        <v>19.68</v>
      </c>
    </row>
    <row r="138" spans="1:9" ht="15.75" customHeight="1" x14ac:dyDescent="0.2">
      <c r="A138" s="41" t="s">
        <v>17</v>
      </c>
      <c r="B138" s="243" t="s">
        <v>210</v>
      </c>
      <c r="C138" s="243"/>
      <c r="D138" s="243"/>
      <c r="E138" s="243"/>
      <c r="F138" s="243"/>
      <c r="G138" s="243"/>
      <c r="H138" s="243"/>
      <c r="I138" s="135">
        <f>'INSUMOS DOS POSTOS'!J48</f>
        <v>136.76</v>
      </c>
    </row>
    <row r="139" spans="1:9" ht="15.75" customHeight="1" x14ac:dyDescent="0.2">
      <c r="A139" s="41" t="s">
        <v>19</v>
      </c>
      <c r="B139" s="243" t="s">
        <v>211</v>
      </c>
      <c r="C139" s="243"/>
      <c r="D139" s="243"/>
      <c r="E139" s="243"/>
      <c r="F139" s="243"/>
      <c r="G139" s="243"/>
      <c r="H139" s="243"/>
      <c r="I139" s="135">
        <f>'INSUMOS DOS POSTOS'!J49</f>
        <v>8.25</v>
      </c>
    </row>
    <row r="140" spans="1:9" ht="17.850000000000001" customHeight="1" x14ac:dyDescent="0.2">
      <c r="A140" s="41" t="s">
        <v>42</v>
      </c>
      <c r="B140" s="244" t="s">
        <v>73</v>
      </c>
      <c r="C140" s="244"/>
      <c r="D140" s="244"/>
      <c r="E140" s="244"/>
      <c r="F140" s="244"/>
      <c r="G140" s="244"/>
      <c r="H140" s="244"/>
      <c r="I140" s="133"/>
    </row>
    <row r="141" spans="1:9" ht="15.75" customHeight="1" x14ac:dyDescent="0.2">
      <c r="A141" s="233" t="s">
        <v>97</v>
      </c>
      <c r="B141" s="233"/>
      <c r="C141" s="233"/>
      <c r="D141" s="233"/>
      <c r="E141" s="233"/>
      <c r="F141" s="233"/>
      <c r="G141" s="233"/>
      <c r="H141" s="233"/>
      <c r="I141" s="61">
        <f>ROUND(SUM(I136:I140),2)</f>
        <v>165.27</v>
      </c>
    </row>
    <row r="142" spans="1:9" ht="7.5" customHeight="1" x14ac:dyDescent="0.2">
      <c r="A142" s="245"/>
      <c r="B142" s="245"/>
      <c r="C142" s="245"/>
      <c r="D142" s="245"/>
      <c r="E142" s="245"/>
      <c r="F142" s="245"/>
      <c r="G142" s="245"/>
      <c r="H142" s="245"/>
      <c r="I142" s="245"/>
    </row>
    <row r="143" spans="1:9" ht="15.75" customHeight="1" x14ac:dyDescent="0.2">
      <c r="A143" s="239" t="s">
        <v>98</v>
      </c>
      <c r="B143" s="239"/>
      <c r="C143" s="239"/>
      <c r="D143" s="239"/>
      <c r="E143" s="239"/>
      <c r="F143" s="239"/>
      <c r="G143" s="239"/>
      <c r="H143" s="239"/>
      <c r="I143" s="239"/>
    </row>
    <row r="144" spans="1:9" ht="7.15" customHeight="1" x14ac:dyDescent="0.2">
      <c r="A144" s="62"/>
      <c r="B144" s="63"/>
      <c r="C144" s="63"/>
      <c r="D144" s="63"/>
      <c r="E144" s="63"/>
      <c r="F144" s="63"/>
      <c r="G144" s="63"/>
      <c r="H144" s="63"/>
      <c r="I144" s="64"/>
    </row>
    <row r="145" spans="1:9" ht="15.75" x14ac:dyDescent="0.2">
      <c r="A145" s="240" t="s">
        <v>99</v>
      </c>
      <c r="B145" s="240"/>
      <c r="C145" s="240"/>
      <c r="D145" s="240"/>
      <c r="E145" s="240"/>
      <c r="F145" s="240"/>
      <c r="G145" s="240"/>
      <c r="H145" s="240"/>
      <c r="I145" s="240"/>
    </row>
    <row r="146" spans="1:9" ht="30" x14ac:dyDescent="0.2">
      <c r="A146" s="40">
        <v>6</v>
      </c>
      <c r="B146" s="241" t="s">
        <v>100</v>
      </c>
      <c r="C146" s="241"/>
      <c r="D146" s="241"/>
      <c r="E146" s="241"/>
      <c r="F146" s="241"/>
      <c r="G146" s="241"/>
      <c r="H146" s="5" t="s">
        <v>40</v>
      </c>
      <c r="I146" s="65" t="s">
        <v>53</v>
      </c>
    </row>
    <row r="147" spans="1:9" ht="50.65" customHeight="1" x14ac:dyDescent="0.2">
      <c r="A147" s="235" t="s">
        <v>101</v>
      </c>
      <c r="B147" s="235"/>
      <c r="C147" s="235"/>
      <c r="D147" s="235"/>
      <c r="E147" s="235"/>
      <c r="F147" s="235"/>
      <c r="G147" s="235"/>
      <c r="H147" s="66" t="s">
        <v>24</v>
      </c>
      <c r="I147" s="67">
        <f>SUM(I46+I96+I105+I132+I141)</f>
        <v>4085.31648</v>
      </c>
    </row>
    <row r="148" spans="1:9" ht="15.75" customHeight="1" x14ac:dyDescent="0.2">
      <c r="A148" s="41" t="s">
        <v>13</v>
      </c>
      <c r="B148" s="234" t="s">
        <v>102</v>
      </c>
      <c r="C148" s="234"/>
      <c r="D148" s="234"/>
      <c r="E148" s="234"/>
      <c r="F148" s="234"/>
      <c r="G148" s="234"/>
      <c r="H148" s="172">
        <v>0.06</v>
      </c>
      <c r="I148" s="30">
        <f>ROUND(H148*I147,2)</f>
        <v>245.12</v>
      </c>
    </row>
    <row r="149" spans="1:9" ht="50.65" customHeight="1" x14ac:dyDescent="0.2">
      <c r="A149" s="235" t="s">
        <v>103</v>
      </c>
      <c r="B149" s="235"/>
      <c r="C149" s="235"/>
      <c r="D149" s="235"/>
      <c r="E149" s="235"/>
      <c r="F149" s="235"/>
      <c r="G149" s="235"/>
      <c r="H149" s="68" t="s">
        <v>24</v>
      </c>
      <c r="I149" s="67">
        <f>SUM(I46+I96+I105+I132+I141+I148)</f>
        <v>4330.4364800000003</v>
      </c>
    </row>
    <row r="150" spans="1:9" ht="15.75" customHeight="1" x14ac:dyDescent="0.2">
      <c r="A150" s="41" t="s">
        <v>15</v>
      </c>
      <c r="B150" s="234" t="s">
        <v>104</v>
      </c>
      <c r="C150" s="234"/>
      <c r="D150" s="234"/>
      <c r="E150" s="234"/>
      <c r="F150" s="234"/>
      <c r="G150" s="234"/>
      <c r="H150" s="172">
        <v>6.7900000000000002E-2</v>
      </c>
      <c r="I150" s="30">
        <f>ROUND(H150*I149,2)</f>
        <v>294.04000000000002</v>
      </c>
    </row>
    <row r="151" spans="1:9" ht="48.75" customHeight="1" x14ac:dyDescent="0.2">
      <c r="A151" s="235" t="s">
        <v>105</v>
      </c>
      <c r="B151" s="235"/>
      <c r="C151" s="235"/>
      <c r="D151" s="235"/>
      <c r="E151" s="235"/>
      <c r="F151" s="235"/>
      <c r="G151" s="235"/>
      <c r="H151" s="68" t="s">
        <v>24</v>
      </c>
      <c r="I151" s="67">
        <f>SUM(I147+I148+I150)</f>
        <v>4624.4764800000003</v>
      </c>
    </row>
    <row r="152" spans="1:9" ht="17.100000000000001" customHeight="1" x14ac:dyDescent="0.2">
      <c r="A152" s="69" t="s">
        <v>17</v>
      </c>
      <c r="B152" s="236" t="s">
        <v>106</v>
      </c>
      <c r="C152" s="236"/>
      <c r="D152" s="236"/>
      <c r="E152" s="236"/>
      <c r="F152" s="236"/>
      <c r="G152" s="236"/>
      <c r="H152" s="70" t="s">
        <v>24</v>
      </c>
      <c r="I152" s="17" t="s">
        <v>24</v>
      </c>
    </row>
    <row r="153" spans="1:9" ht="12.75" x14ac:dyDescent="0.2">
      <c r="A153" s="41"/>
      <c r="B153" s="237" t="s">
        <v>107</v>
      </c>
      <c r="C153" s="237"/>
      <c r="D153" s="237"/>
      <c r="E153" s="237"/>
      <c r="F153" s="237"/>
      <c r="G153" s="237"/>
      <c r="H153" s="70" t="s">
        <v>24</v>
      </c>
      <c r="I153" s="17" t="s">
        <v>24</v>
      </c>
    </row>
    <row r="154" spans="1:9" ht="22.5" customHeight="1" x14ac:dyDescent="0.2">
      <c r="A154" s="41"/>
      <c r="B154" s="238" t="s">
        <v>108</v>
      </c>
      <c r="C154" s="238"/>
      <c r="D154" s="238"/>
      <c r="E154" s="238"/>
      <c r="F154" s="238"/>
      <c r="G154" s="238"/>
      <c r="H154" s="173">
        <v>0.03</v>
      </c>
      <c r="I154" s="71">
        <f>ROUND(($I$151/(1-$H$163))*H154,2)</f>
        <v>147.04</v>
      </c>
    </row>
    <row r="155" spans="1:9" ht="22.5" customHeight="1" x14ac:dyDescent="0.2">
      <c r="A155" s="41"/>
      <c r="B155" s="238" t="s">
        <v>109</v>
      </c>
      <c r="C155" s="238"/>
      <c r="D155" s="238"/>
      <c r="E155" s="238"/>
      <c r="F155" s="238"/>
      <c r="G155" s="238"/>
      <c r="H155" s="173">
        <v>6.4999999999999997E-3</v>
      </c>
      <c r="I155" s="71">
        <f>ROUND(($I$151/(1-$H$163))*H155,2)</f>
        <v>31.86</v>
      </c>
    </row>
    <row r="156" spans="1:9" ht="29.25" customHeight="1" x14ac:dyDescent="0.2">
      <c r="A156" s="41"/>
      <c r="B156" s="230" t="s">
        <v>0</v>
      </c>
      <c r="C156" s="230"/>
      <c r="D156" s="230"/>
      <c r="E156" s="230"/>
      <c r="F156" s="230"/>
      <c r="G156" s="230"/>
      <c r="H156" s="72" t="s">
        <v>24</v>
      </c>
      <c r="I156" s="17" t="s">
        <v>24</v>
      </c>
    </row>
    <row r="157" spans="1:9" ht="29.25" customHeight="1" x14ac:dyDescent="0.2">
      <c r="A157" s="41"/>
      <c r="B157" s="230" t="s">
        <v>1</v>
      </c>
      <c r="C157" s="230"/>
      <c r="D157" s="230"/>
      <c r="E157" s="230"/>
      <c r="F157" s="230"/>
      <c r="G157" s="230"/>
      <c r="H157" s="72" t="s">
        <v>24</v>
      </c>
      <c r="I157" s="17" t="s">
        <v>24</v>
      </c>
    </row>
    <row r="158" spans="1:9" ht="18" customHeight="1" x14ac:dyDescent="0.2">
      <c r="A158" s="41"/>
      <c r="B158" s="231" t="s">
        <v>110</v>
      </c>
      <c r="C158" s="231"/>
      <c r="D158" s="231"/>
      <c r="E158" s="231"/>
      <c r="F158" s="231"/>
      <c r="G158" s="231"/>
      <c r="H158" s="73" t="s">
        <v>24</v>
      </c>
      <c r="I158" s="74" t="s">
        <v>24</v>
      </c>
    </row>
    <row r="159" spans="1:9" ht="18" customHeight="1" x14ac:dyDescent="0.2">
      <c r="A159" s="41"/>
      <c r="B159" s="231" t="s">
        <v>111</v>
      </c>
      <c r="C159" s="231"/>
      <c r="D159" s="231"/>
      <c r="E159" s="231"/>
      <c r="F159" s="231"/>
      <c r="G159" s="231"/>
      <c r="H159" s="73" t="s">
        <v>24</v>
      </c>
      <c r="I159" s="74" t="s">
        <v>24</v>
      </c>
    </row>
    <row r="160" spans="1:9" ht="15" customHeight="1" x14ac:dyDescent="0.2">
      <c r="A160" s="41"/>
      <c r="B160" s="232" t="s">
        <v>182</v>
      </c>
      <c r="C160" s="232"/>
      <c r="D160" s="232"/>
      <c r="E160" s="232"/>
      <c r="F160" s="232"/>
      <c r="G160" s="232"/>
      <c r="H160" s="173">
        <v>0.02</v>
      </c>
      <c r="I160" s="71">
        <f>ROUND(($I$151/(1-$H$163))*H160,2)</f>
        <v>98.03</v>
      </c>
    </row>
    <row r="161" spans="1:11" ht="15.75" customHeight="1" x14ac:dyDescent="0.2">
      <c r="A161" s="233" t="s">
        <v>81</v>
      </c>
      <c r="B161" s="233"/>
      <c r="C161" s="233"/>
      <c r="D161" s="233"/>
      <c r="E161" s="233"/>
      <c r="F161" s="233"/>
      <c r="G161" s="233"/>
      <c r="H161" s="233"/>
      <c r="I161" s="35">
        <f>SUM(I148+I150+I154+I155+I160)</f>
        <v>816.09</v>
      </c>
    </row>
    <row r="162" spans="1:11" ht="6.75" customHeight="1" x14ac:dyDescent="0.2">
      <c r="A162" s="222"/>
      <c r="B162" s="222"/>
      <c r="C162" s="222"/>
      <c r="D162" s="222"/>
      <c r="E162" s="222"/>
      <c r="F162" s="222"/>
      <c r="G162" s="222"/>
      <c r="H162" s="222"/>
      <c r="I162" s="222"/>
    </row>
    <row r="163" spans="1:11" ht="15.75" customHeight="1" x14ac:dyDescent="0.2">
      <c r="A163" s="225" t="s">
        <v>112</v>
      </c>
      <c r="B163" s="225"/>
      <c r="C163" s="225"/>
      <c r="D163" s="225"/>
      <c r="E163" s="225"/>
      <c r="F163" s="225"/>
      <c r="G163" s="225"/>
      <c r="H163" s="75">
        <f>SUM(H154:H160)</f>
        <v>5.6499999999999995E-2</v>
      </c>
      <c r="I163" s="76">
        <f>SUM(I154:I160)</f>
        <v>276.92999999999995</v>
      </c>
    </row>
    <row r="164" spans="1:11" ht="12.75" customHeight="1" x14ac:dyDescent="0.2">
      <c r="A164" s="226" t="s">
        <v>113</v>
      </c>
      <c r="B164" s="226"/>
      <c r="C164" s="227" t="s">
        <v>114</v>
      </c>
      <c r="D164" s="227"/>
      <c r="E164" s="227"/>
      <c r="F164" s="227"/>
      <c r="G164" s="227"/>
      <c r="H164" s="227"/>
      <c r="I164" s="227"/>
    </row>
    <row r="165" spans="1:11" ht="12" customHeight="1" x14ac:dyDescent="0.2">
      <c r="A165" s="226"/>
      <c r="B165" s="226"/>
      <c r="C165" s="228" t="s">
        <v>115</v>
      </c>
      <c r="D165" s="228"/>
      <c r="E165" s="228"/>
      <c r="F165" s="228"/>
      <c r="G165" s="228"/>
      <c r="H165" s="228"/>
      <c r="I165" s="228"/>
    </row>
    <row r="166" spans="1:11" ht="13.5" customHeight="1" x14ac:dyDescent="0.2">
      <c r="A166" s="226"/>
      <c r="B166" s="226"/>
      <c r="C166" s="229" t="s">
        <v>116</v>
      </c>
      <c r="D166" s="229"/>
      <c r="E166" s="229"/>
      <c r="F166" s="229"/>
      <c r="G166" s="229"/>
      <c r="H166" s="229"/>
      <c r="I166" s="229"/>
    </row>
    <row r="167" spans="1:11" ht="6.75" customHeight="1" x14ac:dyDescent="0.2">
      <c r="A167" s="220"/>
      <c r="B167" s="220"/>
      <c r="C167" s="220"/>
      <c r="D167" s="220"/>
      <c r="E167" s="220"/>
      <c r="F167" s="220"/>
      <c r="G167" s="220"/>
      <c r="H167" s="220"/>
      <c r="I167" s="220"/>
    </row>
    <row r="168" spans="1:11" ht="24.6" customHeight="1" x14ac:dyDescent="0.2">
      <c r="A168" s="221" t="s">
        <v>117</v>
      </c>
      <c r="B168" s="221"/>
      <c r="C168" s="221"/>
      <c r="D168" s="221"/>
      <c r="E168" s="221"/>
      <c r="F168" s="221"/>
      <c r="G168" s="221"/>
      <c r="H168" s="221"/>
      <c r="I168" s="221"/>
    </row>
    <row r="169" spans="1:11" ht="5.25" customHeight="1" x14ac:dyDescent="0.2">
      <c r="A169" s="222"/>
      <c r="B169" s="222"/>
      <c r="C169" s="222"/>
      <c r="D169" s="222"/>
      <c r="E169" s="222"/>
      <c r="F169" s="222"/>
      <c r="G169" s="222"/>
      <c r="H169" s="222"/>
      <c r="I169" s="222"/>
    </row>
    <row r="170" spans="1:11" ht="28.15" customHeight="1" x14ac:dyDescent="0.2">
      <c r="A170" s="223" t="s">
        <v>140</v>
      </c>
      <c r="B170" s="223"/>
      <c r="C170" s="223"/>
      <c r="D170" s="223"/>
      <c r="E170" s="223"/>
      <c r="F170" s="223"/>
      <c r="G170" s="223"/>
      <c r="H170" s="223"/>
      <c r="I170" s="223"/>
    </row>
    <row r="171" spans="1:11" ht="15" customHeight="1" x14ac:dyDescent="0.2">
      <c r="A171" s="224" t="s">
        <v>118</v>
      </c>
      <c r="B171" s="224"/>
      <c r="C171" s="224"/>
      <c r="D171" s="224"/>
      <c r="E171" s="224"/>
      <c r="F171" s="224"/>
      <c r="G171" s="224"/>
      <c r="H171" s="224"/>
      <c r="I171" s="5" t="s">
        <v>49</v>
      </c>
    </row>
    <row r="172" spans="1:11" ht="15" customHeight="1" x14ac:dyDescent="0.2">
      <c r="A172" s="78" t="s">
        <v>13</v>
      </c>
      <c r="B172" s="219" t="s">
        <v>119</v>
      </c>
      <c r="C172" s="219"/>
      <c r="D172" s="219"/>
      <c r="E172" s="219"/>
      <c r="F172" s="219"/>
      <c r="G172" s="219"/>
      <c r="H172" s="219"/>
      <c r="I172" s="48">
        <f>I46</f>
        <v>1731.22</v>
      </c>
      <c r="K172" s="77"/>
    </row>
    <row r="173" spans="1:11" ht="15" customHeight="1" x14ac:dyDescent="0.2">
      <c r="A173" s="78" t="s">
        <v>15</v>
      </c>
      <c r="B173" s="219" t="s">
        <v>120</v>
      </c>
      <c r="C173" s="219"/>
      <c r="D173" s="219"/>
      <c r="E173" s="219"/>
      <c r="F173" s="219"/>
      <c r="G173" s="219"/>
      <c r="H173" s="219"/>
      <c r="I173" s="48">
        <f>I96</f>
        <v>1802.27</v>
      </c>
    </row>
    <row r="174" spans="1:11" ht="15" customHeight="1" x14ac:dyDescent="0.2">
      <c r="A174" s="78" t="s">
        <v>17</v>
      </c>
      <c r="B174" s="219" t="s">
        <v>121</v>
      </c>
      <c r="C174" s="219"/>
      <c r="D174" s="219"/>
      <c r="E174" s="219"/>
      <c r="F174" s="219"/>
      <c r="G174" s="219"/>
      <c r="H174" s="219"/>
      <c r="I174" s="48">
        <f>I105</f>
        <v>124.69</v>
      </c>
    </row>
    <row r="175" spans="1:11" ht="15" customHeight="1" x14ac:dyDescent="0.2">
      <c r="A175" s="78" t="s">
        <v>19</v>
      </c>
      <c r="B175" s="219" t="s">
        <v>122</v>
      </c>
      <c r="C175" s="219"/>
      <c r="D175" s="219"/>
      <c r="E175" s="219"/>
      <c r="F175" s="219"/>
      <c r="G175" s="219"/>
      <c r="H175" s="219"/>
      <c r="I175" s="48">
        <f>I132</f>
        <v>261.86648000000002</v>
      </c>
    </row>
    <row r="176" spans="1:11" ht="15" customHeight="1" x14ac:dyDescent="0.2">
      <c r="A176" s="78" t="s">
        <v>42</v>
      </c>
      <c r="B176" s="219" t="s">
        <v>142</v>
      </c>
      <c r="C176" s="219"/>
      <c r="D176" s="219"/>
      <c r="E176" s="219"/>
      <c r="F176" s="219"/>
      <c r="G176" s="219"/>
      <c r="H176" s="219"/>
      <c r="I176" s="48">
        <f>I141</f>
        <v>165.27</v>
      </c>
    </row>
    <row r="177" spans="1:256" ht="15" customHeight="1" x14ac:dyDescent="0.2">
      <c r="A177" s="213" t="s">
        <v>123</v>
      </c>
      <c r="B177" s="213"/>
      <c r="C177" s="213"/>
      <c r="D177" s="213"/>
      <c r="E177" s="213"/>
      <c r="F177" s="213"/>
      <c r="G177" s="213"/>
      <c r="H177" s="213"/>
      <c r="I177" s="48">
        <f>ROUND(SUM(I172:I176),2)</f>
        <v>4085.32</v>
      </c>
    </row>
    <row r="178" spans="1:256" ht="15" customHeight="1" x14ac:dyDescent="0.2">
      <c r="A178" s="79" t="s">
        <v>43</v>
      </c>
      <c r="B178" s="219" t="s">
        <v>99</v>
      </c>
      <c r="C178" s="219"/>
      <c r="D178" s="219"/>
      <c r="E178" s="219"/>
      <c r="F178" s="219"/>
      <c r="G178" s="219"/>
      <c r="H178" s="219"/>
      <c r="I178" s="61">
        <f>I161</f>
        <v>816.09</v>
      </c>
    </row>
    <row r="179" spans="1:256" ht="15" customHeight="1" x14ac:dyDescent="0.2">
      <c r="A179" s="213" t="s">
        <v>124</v>
      </c>
      <c r="B179" s="213"/>
      <c r="C179" s="213"/>
      <c r="D179" s="213"/>
      <c r="E179" s="213"/>
      <c r="F179" s="213"/>
      <c r="G179" s="213"/>
      <c r="H179" s="213"/>
      <c r="I179" s="102">
        <f>I177+I178</f>
        <v>4901.41</v>
      </c>
    </row>
    <row r="180" spans="1:256" ht="17.25" customHeight="1" x14ac:dyDescent="0.2">
      <c r="A180" s="214" t="s">
        <v>132</v>
      </c>
      <c r="B180" s="214"/>
      <c r="C180" s="214"/>
      <c r="D180" s="214"/>
      <c r="E180" s="214"/>
      <c r="F180" s="214"/>
      <c r="G180" s="214"/>
      <c r="H180" s="214"/>
      <c r="I180" s="214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</row>
    <row r="181" spans="1:256" ht="6.75" customHeight="1" x14ac:dyDescent="0.2">
      <c r="A181" s="215"/>
      <c r="B181" s="215"/>
      <c r="C181" s="215"/>
      <c r="D181" s="215"/>
      <c r="E181" s="215"/>
      <c r="F181" s="215"/>
      <c r="G181" s="215"/>
      <c r="H181" s="215"/>
      <c r="I181" s="215"/>
    </row>
    <row r="182" spans="1:256" ht="18.75" customHeight="1" x14ac:dyDescent="0.2">
      <c r="A182" s="216" t="s">
        <v>133</v>
      </c>
      <c r="B182" s="216"/>
      <c r="C182" s="216"/>
      <c r="D182" s="216"/>
      <c r="E182" s="216"/>
      <c r="F182" s="216"/>
      <c r="G182" s="217">
        <f>I179*H16</f>
        <v>9802.82</v>
      </c>
      <c r="H182" s="217"/>
      <c r="I182" s="217"/>
    </row>
    <row r="183" spans="1:256" ht="8.25" customHeight="1" x14ac:dyDescent="0.25">
      <c r="A183" s="218"/>
      <c r="B183" s="218"/>
      <c r="C183" s="218"/>
      <c r="D183" s="218"/>
      <c r="E183" s="218"/>
      <c r="F183" s="218"/>
      <c r="G183" s="218"/>
      <c r="H183" s="218"/>
      <c r="I183" s="218"/>
    </row>
    <row r="184" spans="1:256" ht="19.5" customHeight="1" x14ac:dyDescent="0.2">
      <c r="A184" s="207" t="s">
        <v>134</v>
      </c>
      <c r="B184" s="207"/>
      <c r="C184" s="207"/>
      <c r="D184" s="207"/>
      <c r="E184" s="207"/>
      <c r="F184" s="207"/>
      <c r="G184" s="208">
        <f>$H$11</f>
        <v>60</v>
      </c>
      <c r="H184" s="208"/>
      <c r="I184" s="208"/>
    </row>
    <row r="185" spans="1:256" ht="8.25" customHeight="1" x14ac:dyDescent="0.2">
      <c r="A185" s="209"/>
      <c r="B185" s="209"/>
      <c r="C185" s="209"/>
      <c r="D185" s="209"/>
      <c r="E185" s="209"/>
      <c r="F185" s="209"/>
      <c r="G185" s="209"/>
      <c r="H185" s="209"/>
      <c r="I185" s="209"/>
    </row>
    <row r="186" spans="1:256" ht="31.5" customHeight="1" x14ac:dyDescent="0.2">
      <c r="A186" s="210" t="s">
        <v>135</v>
      </c>
      <c r="B186" s="210"/>
      <c r="C186" s="210"/>
      <c r="D186" s="210"/>
      <c r="E186" s="210"/>
      <c r="F186" s="210"/>
      <c r="G186" s="211">
        <f>ROUND(G182*G184,2)</f>
        <v>588169.19999999995</v>
      </c>
      <c r="H186" s="211"/>
      <c r="I186" s="211"/>
    </row>
    <row r="187" spans="1:256" ht="8.25" customHeight="1" x14ac:dyDescent="0.2">
      <c r="A187" s="212"/>
      <c r="B187" s="212"/>
      <c r="C187" s="212"/>
      <c r="D187" s="212"/>
      <c r="E187" s="212"/>
      <c r="F187" s="212"/>
      <c r="G187" s="212"/>
      <c r="H187" s="212"/>
      <c r="I187" s="212"/>
    </row>
    <row r="188" spans="1:256" ht="29.25" customHeight="1" x14ac:dyDescent="0.2">
      <c r="A188" s="204" t="s">
        <v>186</v>
      </c>
      <c r="B188" s="204"/>
      <c r="C188" s="204"/>
      <c r="D188" s="204"/>
      <c r="E188" s="204"/>
      <c r="F188" s="204"/>
      <c r="G188" s="204"/>
      <c r="H188" s="204"/>
      <c r="I188" s="204"/>
    </row>
    <row r="189" spans="1:256" ht="12" customHeight="1" x14ac:dyDescent="0.2">
      <c r="A189" s="205" t="s">
        <v>136</v>
      </c>
      <c r="B189" s="205"/>
      <c r="C189" s="205"/>
      <c r="D189" s="201" t="s">
        <v>137</v>
      </c>
      <c r="E189" s="201"/>
      <c r="F189" s="201"/>
      <c r="G189" s="201"/>
      <c r="H189" s="201"/>
      <c r="I189" s="201"/>
    </row>
    <row r="190" spans="1:256" x14ac:dyDescent="0.2">
      <c r="A190" s="205"/>
      <c r="B190" s="205"/>
      <c r="C190" s="205"/>
      <c r="D190" s="201"/>
      <c r="E190" s="201"/>
      <c r="F190" s="201"/>
      <c r="G190" s="201"/>
      <c r="H190" s="201"/>
      <c r="I190" s="201"/>
    </row>
    <row r="191" spans="1:256" ht="14.65" customHeight="1" x14ac:dyDescent="0.2">
      <c r="A191" s="203" t="s">
        <v>184</v>
      </c>
      <c r="B191" s="203"/>
      <c r="C191" s="203"/>
      <c r="D191" s="206"/>
      <c r="E191" s="206"/>
      <c r="F191" s="206"/>
      <c r="G191" s="206"/>
      <c r="H191" s="206"/>
      <c r="I191" s="206"/>
    </row>
    <row r="192" spans="1:256" ht="12.75" customHeight="1" x14ac:dyDescent="0.2">
      <c r="A192" s="199"/>
      <c r="B192" s="199"/>
      <c r="C192" s="199"/>
      <c r="D192" s="206"/>
      <c r="E192" s="206"/>
      <c r="F192" s="206"/>
      <c r="G192" s="206"/>
      <c r="H192" s="206"/>
      <c r="I192" s="206"/>
    </row>
    <row r="193" spans="1:9" ht="15" customHeight="1" x14ac:dyDescent="0.2">
      <c r="A193" s="197"/>
      <c r="B193" s="197"/>
      <c r="C193" s="197"/>
      <c r="D193" s="197"/>
      <c r="E193" s="197"/>
      <c r="F193" s="197"/>
      <c r="G193" s="197"/>
      <c r="H193" s="197"/>
      <c r="I193" s="197"/>
    </row>
    <row r="194" spans="1:9" hidden="1" x14ac:dyDescent="0.2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27" customHeight="1" x14ac:dyDescent="0.2">
      <c r="A195" s="198" t="s">
        <v>185</v>
      </c>
      <c r="B195" s="198"/>
      <c r="C195" s="198"/>
      <c r="D195" s="198"/>
      <c r="E195" s="198"/>
      <c r="F195" s="198"/>
      <c r="G195" s="198"/>
      <c r="H195" s="198"/>
      <c r="I195" s="198"/>
    </row>
    <row r="196" spans="1:9" ht="12.75" customHeight="1" x14ac:dyDescent="0.2">
      <c r="A196" s="201" t="s">
        <v>138</v>
      </c>
      <c r="B196" s="201"/>
      <c r="C196" s="201"/>
      <c r="D196" s="201"/>
      <c r="E196" s="201"/>
      <c r="F196" s="201"/>
      <c r="G196" s="201"/>
      <c r="H196" s="201" t="s">
        <v>139</v>
      </c>
      <c r="I196" s="201"/>
    </row>
    <row r="197" spans="1:9" ht="15" customHeight="1" x14ac:dyDescent="0.25">
      <c r="A197" s="202"/>
      <c r="B197" s="202"/>
      <c r="C197" s="202"/>
      <c r="D197" s="202"/>
      <c r="E197" s="202"/>
      <c r="F197" s="202"/>
      <c r="G197" s="202"/>
      <c r="H197" s="200"/>
      <c r="I197" s="200"/>
    </row>
    <row r="198" spans="1:9" ht="12.75" customHeight="1" x14ac:dyDescent="0.2">
      <c r="A198" s="203"/>
      <c r="B198" s="203"/>
      <c r="C198" s="203"/>
      <c r="D198" s="203"/>
      <c r="E198" s="203"/>
      <c r="F198" s="203"/>
      <c r="G198" s="203"/>
      <c r="H198" s="200"/>
      <c r="I198" s="200"/>
    </row>
    <row r="199" spans="1:9" ht="12.75" customHeight="1" x14ac:dyDescent="0.2">
      <c r="A199" s="199"/>
      <c r="B199" s="199"/>
      <c r="C199" s="199"/>
      <c r="D199" s="199"/>
      <c r="E199" s="199"/>
      <c r="F199" s="199"/>
      <c r="G199" s="199"/>
      <c r="H199" s="200"/>
      <c r="I199" s="200"/>
    </row>
    <row r="209" ht="12.75" customHeight="1" x14ac:dyDescent="0.2"/>
  </sheetData>
  <mergeCells count="258">
    <mergeCell ref="A7:I7"/>
    <mergeCell ref="B8:G8"/>
    <mergeCell ref="H8:I8"/>
    <mergeCell ref="B9:G9"/>
    <mergeCell ref="H9:I9"/>
    <mergeCell ref="A6:E6"/>
    <mergeCell ref="F6:I6"/>
    <mergeCell ref="A2:I2"/>
    <mergeCell ref="A3:I3"/>
    <mergeCell ref="A4:E4"/>
    <mergeCell ref="F4:I4"/>
    <mergeCell ref="A5:E5"/>
    <mergeCell ref="F5:I5"/>
    <mergeCell ref="A15:E15"/>
    <mergeCell ref="F15:G15"/>
    <mergeCell ref="H15:I15"/>
    <mergeCell ref="A14:E14"/>
    <mergeCell ref="F14:G14"/>
    <mergeCell ref="H14:I14"/>
    <mergeCell ref="B10:G10"/>
    <mergeCell ref="H10:I10"/>
    <mergeCell ref="B11:G11"/>
    <mergeCell ref="H11:I11"/>
    <mergeCell ref="A12:I12"/>
    <mergeCell ref="A13:E13"/>
    <mergeCell ref="F13:G13"/>
    <mergeCell ref="H13:I13"/>
    <mergeCell ref="A21:I21"/>
    <mergeCell ref="A22:I22"/>
    <mergeCell ref="J22:P22"/>
    <mergeCell ref="Q22:X22"/>
    <mergeCell ref="Y22:AF22"/>
    <mergeCell ref="AG22:AN22"/>
    <mergeCell ref="A16:G16"/>
    <mergeCell ref="H16:I16"/>
    <mergeCell ref="A17:I17"/>
    <mergeCell ref="A18:I18"/>
    <mergeCell ref="A19:I19"/>
    <mergeCell ref="A20:I20"/>
    <mergeCell ref="FU22:GB22"/>
    <mergeCell ref="CK22:CR22"/>
    <mergeCell ref="CS22:CZ22"/>
    <mergeCell ref="DA22:DH22"/>
    <mergeCell ref="DI22:DP22"/>
    <mergeCell ref="DQ22:DX22"/>
    <mergeCell ref="DY22:EF22"/>
    <mergeCell ref="AO22:AV22"/>
    <mergeCell ref="AW22:BD22"/>
    <mergeCell ref="BE22:BL22"/>
    <mergeCell ref="BM22:BT22"/>
    <mergeCell ref="BU22:CB22"/>
    <mergeCell ref="CC22:CJ22"/>
    <mergeCell ref="B25:G25"/>
    <mergeCell ref="H25:I25"/>
    <mergeCell ref="B26:G26"/>
    <mergeCell ref="H26:I26"/>
    <mergeCell ref="B27:G27"/>
    <mergeCell ref="H27:I27"/>
    <mergeCell ref="HY22:IF22"/>
    <mergeCell ref="IG22:IN22"/>
    <mergeCell ref="IO22:IV22"/>
    <mergeCell ref="B23:G23"/>
    <mergeCell ref="H23:I23"/>
    <mergeCell ref="B24:G24"/>
    <mergeCell ref="H24:I24"/>
    <mergeCell ref="GC22:GJ22"/>
    <mergeCell ref="GK22:GR22"/>
    <mergeCell ref="GS22:GZ22"/>
    <mergeCell ref="HA22:HH22"/>
    <mergeCell ref="HI22:HP22"/>
    <mergeCell ref="HQ22:HX22"/>
    <mergeCell ref="EG22:EN22"/>
    <mergeCell ref="EO22:EV22"/>
    <mergeCell ref="EW22:FD22"/>
    <mergeCell ref="FE22:FL22"/>
    <mergeCell ref="FM22:FT22"/>
    <mergeCell ref="B31:G31"/>
    <mergeCell ref="H31:I31"/>
    <mergeCell ref="A32:I32"/>
    <mergeCell ref="A33:I33"/>
    <mergeCell ref="B40:H40"/>
    <mergeCell ref="A41:H41"/>
    <mergeCell ref="B28:G28"/>
    <mergeCell ref="H28:I28"/>
    <mergeCell ref="B29:G29"/>
    <mergeCell ref="H29:I29"/>
    <mergeCell ref="B30:G30"/>
    <mergeCell ref="H30:I30"/>
    <mergeCell ref="B43:H43"/>
    <mergeCell ref="A44:H44"/>
    <mergeCell ref="A45:I45"/>
    <mergeCell ref="A46:H46"/>
    <mergeCell ref="A47:I47"/>
    <mergeCell ref="A48:I48"/>
    <mergeCell ref="A42:I42"/>
    <mergeCell ref="A34:I34"/>
    <mergeCell ref="A35:I35"/>
    <mergeCell ref="B36:G36"/>
    <mergeCell ref="B37:H37"/>
    <mergeCell ref="B38:H38"/>
    <mergeCell ref="B39:H39"/>
    <mergeCell ref="A55:H55"/>
    <mergeCell ref="A56:I56"/>
    <mergeCell ref="A57:I57"/>
    <mergeCell ref="A58:I58"/>
    <mergeCell ref="B59:G59"/>
    <mergeCell ref="B60:G60"/>
    <mergeCell ref="A49:I49"/>
    <mergeCell ref="A50:I50"/>
    <mergeCell ref="A51:I51"/>
    <mergeCell ref="B52:H52"/>
    <mergeCell ref="B53:G53"/>
    <mergeCell ref="B54:G54"/>
    <mergeCell ref="B67:G67"/>
    <mergeCell ref="A68:G68"/>
    <mergeCell ref="A70:I70"/>
    <mergeCell ref="A71:I71"/>
    <mergeCell ref="A72:I72"/>
    <mergeCell ref="B73:H73"/>
    <mergeCell ref="B61:G61"/>
    <mergeCell ref="B62:C62"/>
    <mergeCell ref="B63:G63"/>
    <mergeCell ref="B64:G64"/>
    <mergeCell ref="B65:G65"/>
    <mergeCell ref="B66:G66"/>
    <mergeCell ref="B80:G80"/>
    <mergeCell ref="B81:G81"/>
    <mergeCell ref="B82:G82"/>
    <mergeCell ref="B83:H83"/>
    <mergeCell ref="B84:H84"/>
    <mergeCell ref="B85:H85"/>
    <mergeCell ref="B74:H74"/>
    <mergeCell ref="B75:G75"/>
    <mergeCell ref="B76:G76"/>
    <mergeCell ref="B77:G77"/>
    <mergeCell ref="B78:G78"/>
    <mergeCell ref="B79:H79"/>
    <mergeCell ref="B92:H92"/>
    <mergeCell ref="B93:H93"/>
    <mergeCell ref="B94:H94"/>
    <mergeCell ref="B95:H95"/>
    <mergeCell ref="A96:H96"/>
    <mergeCell ref="A97:I97"/>
    <mergeCell ref="B86:H86"/>
    <mergeCell ref="B87:H87"/>
    <mergeCell ref="A88:I88"/>
    <mergeCell ref="A89:I89"/>
    <mergeCell ref="A90:I90"/>
    <mergeCell ref="A91:I91"/>
    <mergeCell ref="B104:G104"/>
    <mergeCell ref="A105:H105"/>
    <mergeCell ref="A106:I106"/>
    <mergeCell ref="A107:I107"/>
    <mergeCell ref="A108:I108"/>
    <mergeCell ref="A109:I109"/>
    <mergeCell ref="A98:I98"/>
    <mergeCell ref="B99:H99"/>
    <mergeCell ref="B100:H100"/>
    <mergeCell ref="B101:H101"/>
    <mergeCell ref="B102:H102"/>
    <mergeCell ref="B103:H103"/>
    <mergeCell ref="B117:H117"/>
    <mergeCell ref="B118:H118"/>
    <mergeCell ref="B119:H119"/>
    <mergeCell ref="B120:H120"/>
    <mergeCell ref="A121:H121"/>
    <mergeCell ref="A122:I122"/>
    <mergeCell ref="A110:I110"/>
    <mergeCell ref="A112:I112"/>
    <mergeCell ref="A113:I113"/>
    <mergeCell ref="B114:H114"/>
    <mergeCell ref="B115:F115"/>
    <mergeCell ref="B116:H116"/>
    <mergeCell ref="B129:H129"/>
    <mergeCell ref="B130:H130"/>
    <mergeCell ref="B131:H131"/>
    <mergeCell ref="A132:H132"/>
    <mergeCell ref="A133:I133"/>
    <mergeCell ref="A134:I134"/>
    <mergeCell ref="A123:I123"/>
    <mergeCell ref="B124:H124"/>
    <mergeCell ref="B125:H125"/>
    <mergeCell ref="A126:H126"/>
    <mergeCell ref="A127:I127"/>
    <mergeCell ref="A128:I128"/>
    <mergeCell ref="A143:I143"/>
    <mergeCell ref="A145:I145"/>
    <mergeCell ref="B146:G146"/>
    <mergeCell ref="A147:G147"/>
    <mergeCell ref="B148:G148"/>
    <mergeCell ref="A149:G149"/>
    <mergeCell ref="B135:H135"/>
    <mergeCell ref="B136:H136"/>
    <mergeCell ref="B137:H137"/>
    <mergeCell ref="B140:H140"/>
    <mergeCell ref="A141:H141"/>
    <mergeCell ref="A142:I142"/>
    <mergeCell ref="B138:H138"/>
    <mergeCell ref="B139:H139"/>
    <mergeCell ref="B156:G156"/>
    <mergeCell ref="B157:G157"/>
    <mergeCell ref="B158:G158"/>
    <mergeCell ref="B159:G159"/>
    <mergeCell ref="B160:G160"/>
    <mergeCell ref="A161:H161"/>
    <mergeCell ref="B150:G150"/>
    <mergeCell ref="A151:G151"/>
    <mergeCell ref="B152:G152"/>
    <mergeCell ref="B153:G153"/>
    <mergeCell ref="B154:G154"/>
    <mergeCell ref="B155:G155"/>
    <mergeCell ref="A167:I167"/>
    <mergeCell ref="A168:I168"/>
    <mergeCell ref="A169:I169"/>
    <mergeCell ref="A170:I170"/>
    <mergeCell ref="A171:H171"/>
    <mergeCell ref="B172:H172"/>
    <mergeCell ref="A162:I162"/>
    <mergeCell ref="A163:G163"/>
    <mergeCell ref="A164:B166"/>
    <mergeCell ref="C164:I164"/>
    <mergeCell ref="C165:I165"/>
    <mergeCell ref="C166:I166"/>
    <mergeCell ref="A179:H179"/>
    <mergeCell ref="A180:I180"/>
    <mergeCell ref="A181:I181"/>
    <mergeCell ref="A182:F182"/>
    <mergeCell ref="G182:I182"/>
    <mergeCell ref="A183:I183"/>
    <mergeCell ref="B173:H173"/>
    <mergeCell ref="B174:H174"/>
    <mergeCell ref="B175:H175"/>
    <mergeCell ref="B176:H176"/>
    <mergeCell ref="A177:H177"/>
    <mergeCell ref="B178:H178"/>
    <mergeCell ref="A188:I188"/>
    <mergeCell ref="A189:C190"/>
    <mergeCell ref="D189:I190"/>
    <mergeCell ref="A191:C191"/>
    <mergeCell ref="D191:I191"/>
    <mergeCell ref="A192:C192"/>
    <mergeCell ref="D192:I192"/>
    <mergeCell ref="A184:F184"/>
    <mergeCell ref="G184:I184"/>
    <mergeCell ref="A185:I185"/>
    <mergeCell ref="A186:F186"/>
    <mergeCell ref="G186:I186"/>
    <mergeCell ref="A187:I187"/>
    <mergeCell ref="A193:I194"/>
    <mergeCell ref="A195:I195"/>
    <mergeCell ref="A199:G199"/>
    <mergeCell ref="H199:I199"/>
    <mergeCell ref="A196:G196"/>
    <mergeCell ref="H196:I196"/>
    <mergeCell ref="A197:G197"/>
    <mergeCell ref="H197:I197"/>
    <mergeCell ref="A198:G198"/>
    <mergeCell ref="H198:I198"/>
  </mergeCells>
  <pageMargins left="1.3779527559055118" right="0.39370078740157483" top="0.39370078740157483" bottom="0.39370078740157483" header="0.31496062992125984" footer="0.31496062992125984"/>
  <pageSetup paperSize="9" scale="65" orientation="portrait" horizontalDpi="300" verticalDpi="300" r:id="rId1"/>
  <rowBreaks count="3" manualBreakCount="3">
    <brk id="49" max="8" man="1"/>
    <brk id="97" max="8" man="1"/>
    <brk id="144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B3D4F-B064-42A7-B689-38F21F610BC7}">
  <dimension ref="A1:IV209"/>
  <sheetViews>
    <sheetView view="pageBreakPreview" topLeftCell="A187" zoomScale="120" zoomScaleNormal="120" zoomScaleSheetLayoutView="120" workbookViewId="0">
      <selection activeCell="K122" sqref="K122"/>
    </sheetView>
  </sheetViews>
  <sheetFormatPr defaultColWidth="9.28515625" defaultRowHeight="12" x14ac:dyDescent="0.2"/>
  <cols>
    <col min="1" max="1" width="15.28515625" style="1" customWidth="1"/>
    <col min="2" max="2" width="11.28515625" style="1" customWidth="1"/>
    <col min="3" max="3" width="13.28515625" style="1" customWidth="1"/>
    <col min="4" max="4" width="10.28515625" style="1" customWidth="1"/>
    <col min="5" max="5" width="12.42578125" style="1" customWidth="1"/>
    <col min="6" max="6" width="11.28515625" style="1" customWidth="1"/>
    <col min="7" max="7" width="9.7109375" style="1" customWidth="1"/>
    <col min="8" max="8" width="11.28515625" style="1" customWidth="1"/>
    <col min="9" max="9" width="16.7109375" style="2" customWidth="1"/>
    <col min="10" max="10" width="10.7109375" style="1" customWidth="1"/>
    <col min="11" max="11" width="11.28515625" style="1" customWidth="1"/>
    <col min="12" max="12" width="7.42578125" style="1" customWidth="1"/>
    <col min="13" max="13" width="6.5703125" style="1" customWidth="1"/>
    <col min="14" max="15" width="9.28515625" style="1" customWidth="1"/>
    <col min="16" max="16384" width="9.28515625" style="1"/>
  </cols>
  <sheetData>
    <row r="1" spans="1:11" x14ac:dyDescent="0.2">
      <c r="A1" s="97"/>
      <c r="B1" s="97"/>
      <c r="C1" s="97"/>
      <c r="D1" s="97"/>
      <c r="E1" s="97"/>
      <c r="F1" s="97"/>
      <c r="G1" s="97"/>
      <c r="H1" s="97"/>
      <c r="I1" s="100"/>
    </row>
    <row r="2" spans="1:11" ht="32.65" customHeight="1" x14ac:dyDescent="0.2">
      <c r="A2" s="326" t="s">
        <v>212</v>
      </c>
      <c r="B2" s="326"/>
      <c r="C2" s="326"/>
      <c r="D2" s="326"/>
      <c r="E2" s="326"/>
      <c r="F2" s="326"/>
      <c r="G2" s="326"/>
      <c r="H2" s="326"/>
      <c r="I2" s="326"/>
    </row>
    <row r="3" spans="1:11" ht="63" customHeight="1" x14ac:dyDescent="0.2">
      <c r="A3" s="327" t="s">
        <v>255</v>
      </c>
      <c r="B3" s="327"/>
      <c r="C3" s="327"/>
      <c r="D3" s="327"/>
      <c r="E3" s="327"/>
      <c r="F3" s="327"/>
      <c r="G3" s="327"/>
      <c r="H3" s="327"/>
      <c r="I3" s="327"/>
    </row>
    <row r="4" spans="1:11" ht="15.75" customHeight="1" x14ac:dyDescent="0.2">
      <c r="A4" s="244" t="s">
        <v>10</v>
      </c>
      <c r="B4" s="244"/>
      <c r="C4" s="244"/>
      <c r="D4" s="244"/>
      <c r="E4" s="244"/>
      <c r="F4" s="318"/>
      <c r="G4" s="318"/>
      <c r="H4" s="318"/>
      <c r="I4" s="318"/>
    </row>
    <row r="5" spans="1:11" ht="15.75" customHeight="1" x14ac:dyDescent="0.2">
      <c r="A5" s="244" t="s">
        <v>11</v>
      </c>
      <c r="B5" s="244"/>
      <c r="C5" s="244"/>
      <c r="D5" s="244"/>
      <c r="E5" s="244"/>
      <c r="F5" s="318"/>
      <c r="G5" s="318"/>
      <c r="H5" s="318"/>
      <c r="I5" s="318"/>
    </row>
    <row r="6" spans="1:11" ht="14.85" customHeight="1" x14ac:dyDescent="0.2">
      <c r="A6" s="324" t="s">
        <v>180</v>
      </c>
      <c r="B6" s="325"/>
      <c r="C6" s="325"/>
      <c r="D6" s="325"/>
      <c r="E6" s="325"/>
      <c r="F6" s="318"/>
      <c r="G6" s="318"/>
      <c r="H6" s="318"/>
      <c r="I6" s="318"/>
    </row>
    <row r="7" spans="1:11" ht="20.25" customHeight="1" x14ac:dyDescent="0.2">
      <c r="A7" s="224" t="s">
        <v>12</v>
      </c>
      <c r="B7" s="224"/>
      <c r="C7" s="224"/>
      <c r="D7" s="224"/>
      <c r="E7" s="224"/>
      <c r="F7" s="224"/>
      <c r="G7" s="224"/>
      <c r="H7" s="224"/>
      <c r="I7" s="224"/>
    </row>
    <row r="8" spans="1:11" ht="19.5" customHeight="1" x14ac:dyDescent="0.2">
      <c r="A8" s="3" t="s">
        <v>13</v>
      </c>
      <c r="B8" s="244" t="s">
        <v>14</v>
      </c>
      <c r="C8" s="244"/>
      <c r="D8" s="244"/>
      <c r="E8" s="244"/>
      <c r="F8" s="244"/>
      <c r="G8" s="244"/>
      <c r="H8" s="323"/>
      <c r="I8" s="323"/>
    </row>
    <row r="9" spans="1:11" ht="19.5" customHeight="1" x14ac:dyDescent="0.2">
      <c r="A9" s="3" t="s">
        <v>15</v>
      </c>
      <c r="B9" s="244" t="s">
        <v>16</v>
      </c>
      <c r="C9" s="244"/>
      <c r="D9" s="244"/>
      <c r="E9" s="244"/>
      <c r="F9" s="244"/>
      <c r="G9" s="244"/>
      <c r="H9" s="318" t="s">
        <v>181</v>
      </c>
      <c r="I9" s="318"/>
    </row>
    <row r="10" spans="1:11" ht="19.5" customHeight="1" x14ac:dyDescent="0.2">
      <c r="A10" s="3" t="s">
        <v>17</v>
      </c>
      <c r="B10" s="244" t="s">
        <v>18</v>
      </c>
      <c r="C10" s="244"/>
      <c r="D10" s="244"/>
      <c r="E10" s="244"/>
      <c r="F10" s="244"/>
      <c r="G10" s="244"/>
      <c r="H10" s="318" t="s">
        <v>235</v>
      </c>
      <c r="I10" s="318"/>
    </row>
    <row r="11" spans="1:11" ht="19.5" customHeight="1" x14ac:dyDescent="0.2">
      <c r="A11" s="3" t="s">
        <v>19</v>
      </c>
      <c r="B11" s="244" t="s">
        <v>174</v>
      </c>
      <c r="C11" s="244"/>
      <c r="D11" s="244"/>
      <c r="E11" s="244"/>
      <c r="F11" s="244"/>
      <c r="G11" s="244"/>
      <c r="H11" s="331">
        <v>60</v>
      </c>
      <c r="I11" s="331"/>
      <c r="K11" s="4"/>
    </row>
    <row r="12" spans="1:11" ht="21.4" customHeight="1" x14ac:dyDescent="0.2">
      <c r="A12" s="320" t="s">
        <v>20</v>
      </c>
      <c r="B12" s="320"/>
      <c r="C12" s="320"/>
      <c r="D12" s="320"/>
      <c r="E12" s="320"/>
      <c r="F12" s="320"/>
      <c r="G12" s="320"/>
      <c r="H12" s="320"/>
      <c r="I12" s="320"/>
    </row>
    <row r="13" spans="1:11" ht="50.65" customHeight="1" x14ac:dyDescent="0.2">
      <c r="A13" s="321" t="s">
        <v>176</v>
      </c>
      <c r="B13" s="321"/>
      <c r="C13" s="321"/>
      <c r="D13" s="321"/>
      <c r="E13" s="321"/>
      <c r="F13" s="315" t="s">
        <v>21</v>
      </c>
      <c r="G13" s="315"/>
      <c r="H13" s="322" t="s">
        <v>22</v>
      </c>
      <c r="I13" s="322"/>
    </row>
    <row r="14" spans="1:11" ht="12.75" customHeight="1" x14ac:dyDescent="0.2">
      <c r="A14" s="314" t="s">
        <v>175</v>
      </c>
      <c r="B14" s="314"/>
      <c r="C14" s="314"/>
      <c r="D14" s="314"/>
      <c r="E14" s="314"/>
      <c r="F14" s="315" t="s">
        <v>23</v>
      </c>
      <c r="G14" s="315"/>
      <c r="H14" s="316">
        <v>2</v>
      </c>
      <c r="I14" s="316"/>
    </row>
    <row r="15" spans="1:11" ht="12.75" customHeight="1" x14ac:dyDescent="0.2">
      <c r="A15" s="244" t="s">
        <v>236</v>
      </c>
      <c r="B15" s="244"/>
      <c r="C15" s="244"/>
      <c r="D15" s="244"/>
      <c r="E15" s="244"/>
      <c r="F15" s="201" t="s">
        <v>23</v>
      </c>
      <c r="G15" s="201"/>
      <c r="H15" s="317" t="s">
        <v>24</v>
      </c>
      <c r="I15" s="317"/>
    </row>
    <row r="16" spans="1:11" ht="12.75" customHeight="1" x14ac:dyDescent="0.2">
      <c r="A16" s="310" t="s">
        <v>25</v>
      </c>
      <c r="B16" s="310"/>
      <c r="C16" s="310"/>
      <c r="D16" s="310"/>
      <c r="E16" s="310"/>
      <c r="F16" s="310"/>
      <c r="G16" s="310"/>
      <c r="H16" s="311">
        <f>SUM(H14:H15)</f>
        <v>2</v>
      </c>
      <c r="I16" s="311"/>
    </row>
    <row r="17" spans="1:256" ht="8.25" customHeight="1" x14ac:dyDescent="0.2">
      <c r="A17" s="279"/>
      <c r="B17" s="279"/>
      <c r="C17" s="279"/>
      <c r="D17" s="279"/>
      <c r="E17" s="279"/>
      <c r="F17" s="279"/>
      <c r="G17" s="279"/>
      <c r="H17" s="279"/>
      <c r="I17" s="279"/>
    </row>
    <row r="18" spans="1:256" ht="43.9" customHeight="1" x14ac:dyDescent="0.2">
      <c r="A18" s="312" t="s">
        <v>26</v>
      </c>
      <c r="B18" s="312"/>
      <c r="C18" s="312"/>
      <c r="D18" s="312"/>
      <c r="E18" s="312"/>
      <c r="F18" s="312"/>
      <c r="G18" s="312"/>
      <c r="H18" s="312"/>
      <c r="I18" s="312"/>
      <c r="J18" s="6"/>
      <c r="K18" s="7"/>
      <c r="L18" s="8"/>
    </row>
    <row r="19" spans="1:256" ht="7.5" customHeight="1" x14ac:dyDescent="0.2">
      <c r="A19" s="277"/>
      <c r="B19" s="277"/>
      <c r="C19" s="277"/>
      <c r="D19" s="277"/>
      <c r="E19" s="277"/>
      <c r="F19" s="277"/>
      <c r="G19" s="277"/>
      <c r="H19" s="277"/>
      <c r="I19" s="277"/>
      <c r="J19" s="6"/>
      <c r="K19" s="7"/>
      <c r="L19" s="8"/>
    </row>
    <row r="20" spans="1:256" ht="52.15" customHeight="1" x14ac:dyDescent="0.3">
      <c r="A20" s="313" t="s">
        <v>27</v>
      </c>
      <c r="B20" s="313"/>
      <c r="C20" s="313"/>
      <c r="D20" s="313"/>
      <c r="E20" s="313"/>
      <c r="F20" s="313"/>
      <c r="G20" s="313"/>
      <c r="H20" s="313"/>
      <c r="I20" s="313"/>
      <c r="J20" s="6"/>
      <c r="K20" s="7"/>
      <c r="L20" s="8"/>
    </row>
    <row r="21" spans="1:256" ht="10.35" customHeight="1" x14ac:dyDescent="0.25">
      <c r="A21" s="309"/>
      <c r="B21" s="309"/>
      <c r="C21" s="309"/>
      <c r="D21" s="309"/>
      <c r="E21" s="309"/>
      <c r="F21" s="309"/>
      <c r="G21" s="309"/>
      <c r="H21" s="309"/>
      <c r="I21" s="309"/>
      <c r="J21" s="6"/>
      <c r="K21" s="7"/>
      <c r="L21" s="8"/>
    </row>
    <row r="22" spans="1:256" s="9" customFormat="1" ht="21.75" customHeight="1" x14ac:dyDescent="0.2">
      <c r="A22" s="224" t="s">
        <v>28</v>
      </c>
      <c r="B22" s="224"/>
      <c r="C22" s="224"/>
      <c r="D22" s="224"/>
      <c r="E22" s="224"/>
      <c r="F22" s="224"/>
      <c r="G22" s="224"/>
      <c r="H22" s="224"/>
      <c r="I22" s="224"/>
      <c r="J22" s="306"/>
      <c r="K22" s="306"/>
      <c r="L22" s="306"/>
      <c r="M22" s="306"/>
      <c r="N22" s="306"/>
      <c r="O22" s="306"/>
      <c r="P22" s="306"/>
      <c r="Q22" s="306"/>
      <c r="R22" s="306"/>
      <c r="S22" s="306"/>
      <c r="T22" s="306"/>
      <c r="U22" s="306"/>
      <c r="V22" s="306"/>
      <c r="W22" s="306"/>
      <c r="X22" s="306"/>
      <c r="Y22" s="306"/>
      <c r="Z22" s="306"/>
      <c r="AA22" s="306"/>
      <c r="AB22" s="306"/>
      <c r="AC22" s="306"/>
      <c r="AD22" s="306"/>
      <c r="AE22" s="306"/>
      <c r="AF22" s="306"/>
      <c r="AG22" s="306"/>
      <c r="AH22" s="306"/>
      <c r="AI22" s="306"/>
      <c r="AJ22" s="306"/>
      <c r="AK22" s="306"/>
      <c r="AL22" s="306"/>
      <c r="AM22" s="306"/>
      <c r="AN22" s="306"/>
      <c r="AO22" s="306"/>
      <c r="AP22" s="306"/>
      <c r="AQ22" s="306"/>
      <c r="AR22" s="306"/>
      <c r="AS22" s="306"/>
      <c r="AT22" s="306"/>
      <c r="AU22" s="306"/>
      <c r="AV22" s="306"/>
      <c r="AW22" s="306"/>
      <c r="AX22" s="306"/>
      <c r="AY22" s="306"/>
      <c r="AZ22" s="306"/>
      <c r="BA22" s="306"/>
      <c r="BB22" s="306"/>
      <c r="BC22" s="306"/>
      <c r="BD22" s="306"/>
      <c r="BE22" s="306"/>
      <c r="BF22" s="306"/>
      <c r="BG22" s="306"/>
      <c r="BH22" s="306"/>
      <c r="BI22" s="306"/>
      <c r="BJ22" s="306"/>
      <c r="BK22" s="306"/>
      <c r="BL22" s="306"/>
      <c r="BM22" s="306"/>
      <c r="BN22" s="306"/>
      <c r="BO22" s="306"/>
      <c r="BP22" s="306"/>
      <c r="BQ22" s="306"/>
      <c r="BR22" s="306"/>
      <c r="BS22" s="306"/>
      <c r="BT22" s="306"/>
      <c r="BU22" s="306"/>
      <c r="BV22" s="306"/>
      <c r="BW22" s="306"/>
      <c r="BX22" s="306"/>
      <c r="BY22" s="306"/>
      <c r="BZ22" s="306"/>
      <c r="CA22" s="306"/>
      <c r="CB22" s="306"/>
      <c r="CC22" s="306"/>
      <c r="CD22" s="306"/>
      <c r="CE22" s="306"/>
      <c r="CF22" s="306"/>
      <c r="CG22" s="306"/>
      <c r="CH22" s="306"/>
      <c r="CI22" s="306"/>
      <c r="CJ22" s="306"/>
      <c r="CK22" s="306"/>
      <c r="CL22" s="306"/>
      <c r="CM22" s="306"/>
      <c r="CN22" s="306"/>
      <c r="CO22" s="306"/>
      <c r="CP22" s="306"/>
      <c r="CQ22" s="306"/>
      <c r="CR22" s="306"/>
      <c r="CS22" s="306"/>
      <c r="CT22" s="306"/>
      <c r="CU22" s="306"/>
      <c r="CV22" s="306"/>
      <c r="CW22" s="306"/>
      <c r="CX22" s="306"/>
      <c r="CY22" s="306"/>
      <c r="CZ22" s="306"/>
      <c r="DA22" s="306"/>
      <c r="DB22" s="306"/>
      <c r="DC22" s="306"/>
      <c r="DD22" s="306"/>
      <c r="DE22" s="306"/>
      <c r="DF22" s="306"/>
      <c r="DG22" s="306"/>
      <c r="DH22" s="306"/>
      <c r="DI22" s="306"/>
      <c r="DJ22" s="306"/>
      <c r="DK22" s="306"/>
      <c r="DL22" s="306"/>
      <c r="DM22" s="306"/>
      <c r="DN22" s="306"/>
      <c r="DO22" s="306"/>
      <c r="DP22" s="306"/>
      <c r="DQ22" s="306"/>
      <c r="DR22" s="306"/>
      <c r="DS22" s="306"/>
      <c r="DT22" s="306"/>
      <c r="DU22" s="306"/>
      <c r="DV22" s="306"/>
      <c r="DW22" s="306"/>
      <c r="DX22" s="306"/>
      <c r="DY22" s="306"/>
      <c r="DZ22" s="306"/>
      <c r="EA22" s="306"/>
      <c r="EB22" s="306"/>
      <c r="EC22" s="306"/>
      <c r="ED22" s="306"/>
      <c r="EE22" s="306"/>
      <c r="EF22" s="306"/>
      <c r="EG22" s="306"/>
      <c r="EH22" s="306"/>
      <c r="EI22" s="306"/>
      <c r="EJ22" s="306"/>
      <c r="EK22" s="306"/>
      <c r="EL22" s="306"/>
      <c r="EM22" s="306"/>
      <c r="EN22" s="306"/>
      <c r="EO22" s="306"/>
      <c r="EP22" s="306"/>
      <c r="EQ22" s="306"/>
      <c r="ER22" s="306"/>
      <c r="ES22" s="306"/>
      <c r="ET22" s="306"/>
      <c r="EU22" s="306"/>
      <c r="EV22" s="306"/>
      <c r="EW22" s="306"/>
      <c r="EX22" s="306"/>
      <c r="EY22" s="306"/>
      <c r="EZ22" s="306"/>
      <c r="FA22" s="306"/>
      <c r="FB22" s="306"/>
      <c r="FC22" s="306"/>
      <c r="FD22" s="306"/>
      <c r="FE22" s="306"/>
      <c r="FF22" s="306"/>
      <c r="FG22" s="306"/>
      <c r="FH22" s="306"/>
      <c r="FI22" s="306"/>
      <c r="FJ22" s="306"/>
      <c r="FK22" s="306"/>
      <c r="FL22" s="306"/>
      <c r="FM22" s="306"/>
      <c r="FN22" s="306"/>
      <c r="FO22" s="306"/>
      <c r="FP22" s="306"/>
      <c r="FQ22" s="306"/>
      <c r="FR22" s="306"/>
      <c r="FS22" s="306"/>
      <c r="FT22" s="306"/>
      <c r="FU22" s="306"/>
      <c r="FV22" s="306"/>
      <c r="FW22" s="306"/>
      <c r="FX22" s="306"/>
      <c r="FY22" s="306"/>
      <c r="FZ22" s="306"/>
      <c r="GA22" s="306"/>
      <c r="GB22" s="306"/>
      <c r="GC22" s="306"/>
      <c r="GD22" s="306"/>
      <c r="GE22" s="306"/>
      <c r="GF22" s="306"/>
      <c r="GG22" s="306"/>
      <c r="GH22" s="306"/>
      <c r="GI22" s="306"/>
      <c r="GJ22" s="306"/>
      <c r="GK22" s="306"/>
      <c r="GL22" s="306"/>
      <c r="GM22" s="306"/>
      <c r="GN22" s="306"/>
      <c r="GO22" s="306"/>
      <c r="GP22" s="306"/>
      <c r="GQ22" s="306"/>
      <c r="GR22" s="306"/>
      <c r="GS22" s="306"/>
      <c r="GT22" s="306"/>
      <c r="GU22" s="306"/>
      <c r="GV22" s="306"/>
      <c r="GW22" s="306"/>
      <c r="GX22" s="306"/>
      <c r="GY22" s="306"/>
      <c r="GZ22" s="306"/>
      <c r="HA22" s="306"/>
      <c r="HB22" s="306"/>
      <c r="HC22" s="306"/>
      <c r="HD22" s="306"/>
      <c r="HE22" s="306"/>
      <c r="HF22" s="306"/>
      <c r="HG22" s="306"/>
      <c r="HH22" s="306"/>
      <c r="HI22" s="306"/>
      <c r="HJ22" s="306"/>
      <c r="HK22" s="306"/>
      <c r="HL22" s="306"/>
      <c r="HM22" s="306"/>
      <c r="HN22" s="306"/>
      <c r="HO22" s="306"/>
      <c r="HP22" s="306"/>
      <c r="HQ22" s="306"/>
      <c r="HR22" s="306"/>
      <c r="HS22" s="306"/>
      <c r="HT22" s="306"/>
      <c r="HU22" s="306"/>
      <c r="HV22" s="306"/>
      <c r="HW22" s="306"/>
      <c r="HX22" s="306"/>
      <c r="HY22" s="306"/>
      <c r="HZ22" s="306"/>
      <c r="IA22" s="306"/>
      <c r="IB22" s="306"/>
      <c r="IC22" s="306"/>
      <c r="ID22" s="306"/>
      <c r="IE22" s="306"/>
      <c r="IF22" s="306"/>
      <c r="IG22" s="306"/>
      <c r="IH22" s="306"/>
      <c r="II22" s="306"/>
      <c r="IJ22" s="306"/>
      <c r="IK22" s="306"/>
      <c r="IL22" s="306"/>
      <c r="IM22" s="306"/>
      <c r="IN22" s="306"/>
      <c r="IO22" s="306"/>
      <c r="IP22" s="306"/>
      <c r="IQ22" s="306"/>
      <c r="IR22" s="306"/>
      <c r="IS22" s="306"/>
      <c r="IT22" s="306"/>
      <c r="IU22" s="306"/>
      <c r="IV22" s="306"/>
    </row>
    <row r="23" spans="1:256" ht="27.6" customHeight="1" x14ac:dyDescent="0.2">
      <c r="A23" s="3">
        <v>1</v>
      </c>
      <c r="B23" s="244" t="s">
        <v>29</v>
      </c>
      <c r="C23" s="244"/>
      <c r="D23" s="244"/>
      <c r="E23" s="244"/>
      <c r="F23" s="244"/>
      <c r="G23" s="244"/>
      <c r="H23" s="307" t="s">
        <v>178</v>
      </c>
      <c r="I23" s="307"/>
    </row>
    <row r="24" spans="1:256" ht="19.5" customHeight="1" x14ac:dyDescent="0.2">
      <c r="A24" s="10">
        <v>2</v>
      </c>
      <c r="B24" s="298" t="s">
        <v>30</v>
      </c>
      <c r="C24" s="298"/>
      <c r="D24" s="298"/>
      <c r="E24" s="298"/>
      <c r="F24" s="298"/>
      <c r="G24" s="298"/>
      <c r="H24" s="308" t="s">
        <v>177</v>
      </c>
      <c r="I24" s="308"/>
    </row>
    <row r="25" spans="1:256" ht="15.75" customHeight="1" x14ac:dyDescent="0.2">
      <c r="A25" s="3">
        <v>3</v>
      </c>
      <c r="B25" s="244" t="s">
        <v>31</v>
      </c>
      <c r="C25" s="244"/>
      <c r="D25" s="244"/>
      <c r="E25" s="244"/>
      <c r="F25" s="244"/>
      <c r="G25" s="244"/>
      <c r="H25" s="303">
        <v>1654.4</v>
      </c>
      <c r="I25" s="303"/>
      <c r="J25" s="138"/>
      <c r="K25" s="138"/>
    </row>
    <row r="26" spans="1:256" ht="15.75" customHeight="1" x14ac:dyDescent="0.2">
      <c r="A26" s="3">
        <v>4</v>
      </c>
      <c r="B26" s="244" t="s">
        <v>32</v>
      </c>
      <c r="C26" s="244"/>
      <c r="D26" s="244"/>
      <c r="E26" s="244"/>
      <c r="F26" s="244"/>
      <c r="G26" s="244"/>
      <c r="H26" s="304" t="s">
        <v>179</v>
      </c>
      <c r="I26" s="304"/>
    </row>
    <row r="27" spans="1:256" ht="15.75" customHeight="1" x14ac:dyDescent="0.2">
      <c r="A27" s="3">
        <v>5</v>
      </c>
      <c r="B27" s="244" t="s">
        <v>33</v>
      </c>
      <c r="C27" s="244"/>
      <c r="D27" s="244"/>
      <c r="E27" s="244"/>
      <c r="F27" s="244"/>
      <c r="G27" s="244"/>
      <c r="H27" s="305" t="s">
        <v>235</v>
      </c>
      <c r="I27" s="305"/>
    </row>
    <row r="28" spans="1:256" ht="27.6" customHeight="1" x14ac:dyDescent="0.2">
      <c r="A28" s="11">
        <v>6</v>
      </c>
      <c r="B28" s="281" t="s">
        <v>34</v>
      </c>
      <c r="C28" s="281"/>
      <c r="D28" s="281"/>
      <c r="E28" s="281"/>
      <c r="F28" s="281"/>
      <c r="G28" s="281"/>
      <c r="H28" s="301">
        <f>ROUND((H25/220),2)</f>
        <v>7.52</v>
      </c>
      <c r="I28" s="301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ht="23.25" customHeight="1" x14ac:dyDescent="0.2">
      <c r="A29" s="11">
        <v>7</v>
      </c>
      <c r="B29" s="281" t="s">
        <v>35</v>
      </c>
      <c r="C29" s="281"/>
      <c r="D29" s="281"/>
      <c r="E29" s="281"/>
      <c r="F29" s="281"/>
      <c r="G29" s="281"/>
      <c r="H29" s="302">
        <f>TRUNC(H28*1.5,2)</f>
        <v>11.28</v>
      </c>
      <c r="I29" s="302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ht="26.25" customHeight="1" x14ac:dyDescent="0.2">
      <c r="A30" s="11">
        <v>8</v>
      </c>
      <c r="B30" s="281" t="s">
        <v>36</v>
      </c>
      <c r="C30" s="281"/>
      <c r="D30" s="281"/>
      <c r="E30" s="281"/>
      <c r="F30" s="281"/>
      <c r="G30" s="281"/>
      <c r="H30" s="301">
        <f>ROUND(H28*0.2,2)</f>
        <v>1.5</v>
      </c>
      <c r="I30" s="301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ht="15.75" customHeight="1" x14ac:dyDescent="0.2">
      <c r="A31" s="11">
        <v>9</v>
      </c>
      <c r="B31" s="299" t="s">
        <v>183</v>
      </c>
      <c r="C31" s="299"/>
      <c r="D31" s="299"/>
      <c r="E31" s="299"/>
      <c r="F31" s="299"/>
      <c r="G31" s="299"/>
      <c r="H31" s="300">
        <v>1</v>
      </c>
      <c r="I31" s="300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ht="9" customHeight="1" x14ac:dyDescent="0.2">
      <c r="A32" s="277"/>
      <c r="B32" s="277"/>
      <c r="C32" s="277"/>
      <c r="D32" s="277"/>
      <c r="E32" s="277"/>
      <c r="F32" s="277"/>
      <c r="G32" s="277"/>
      <c r="H32" s="277"/>
      <c r="I32" s="277"/>
    </row>
    <row r="33" spans="1:12" ht="21.75" customHeight="1" x14ac:dyDescent="0.2">
      <c r="A33" s="278" t="s">
        <v>37</v>
      </c>
      <c r="B33" s="278"/>
      <c r="C33" s="278"/>
      <c r="D33" s="278"/>
      <c r="E33" s="278"/>
      <c r="F33" s="278"/>
      <c r="G33" s="278"/>
      <c r="H33" s="278"/>
      <c r="I33" s="278"/>
    </row>
    <row r="34" spans="1:12" ht="9" customHeight="1" x14ac:dyDescent="0.2">
      <c r="A34" s="296"/>
      <c r="B34" s="296"/>
      <c r="C34" s="296"/>
      <c r="D34" s="296"/>
      <c r="E34" s="296"/>
      <c r="F34" s="296"/>
      <c r="G34" s="296"/>
      <c r="H34" s="296"/>
      <c r="I34" s="296"/>
    </row>
    <row r="35" spans="1:12" ht="20.25" customHeight="1" x14ac:dyDescent="0.2">
      <c r="A35" s="297" t="s">
        <v>38</v>
      </c>
      <c r="B35" s="297"/>
      <c r="C35" s="297"/>
      <c r="D35" s="297"/>
      <c r="E35" s="297"/>
      <c r="F35" s="297"/>
      <c r="G35" s="297"/>
      <c r="H35" s="297"/>
      <c r="I35" s="297"/>
    </row>
    <row r="36" spans="1:12" s="15" customFormat="1" ht="30.4" customHeight="1" x14ac:dyDescent="0.2">
      <c r="A36" s="12">
        <v>1</v>
      </c>
      <c r="B36" s="242" t="s">
        <v>39</v>
      </c>
      <c r="C36" s="242"/>
      <c r="D36" s="242"/>
      <c r="E36" s="242"/>
      <c r="F36" s="242"/>
      <c r="G36" s="242"/>
      <c r="H36" s="14" t="s">
        <v>40</v>
      </c>
      <c r="I36" s="12" t="s">
        <v>41</v>
      </c>
    </row>
    <row r="37" spans="1:12" ht="19.5" customHeight="1" x14ac:dyDescent="0.2">
      <c r="A37" s="3" t="s">
        <v>13</v>
      </c>
      <c r="B37" s="261" t="s">
        <v>248</v>
      </c>
      <c r="C37" s="219"/>
      <c r="D37" s="219"/>
      <c r="E37" s="219"/>
      <c r="F37" s="219"/>
      <c r="G37" s="219"/>
      <c r="H37" s="262"/>
      <c r="I37" s="16">
        <f>H25*H31</f>
        <v>1654.4</v>
      </c>
    </row>
    <row r="38" spans="1:12" ht="38.65" customHeight="1" x14ac:dyDescent="0.2">
      <c r="A38" s="3" t="s">
        <v>15</v>
      </c>
      <c r="B38" s="261" t="s">
        <v>249</v>
      </c>
      <c r="C38" s="219"/>
      <c r="D38" s="219"/>
      <c r="E38" s="219"/>
      <c r="F38" s="219"/>
      <c r="G38" s="219"/>
      <c r="H38" s="262"/>
      <c r="I38" s="16">
        <f>ROUND(2*8*0*H30,2)</f>
        <v>0</v>
      </c>
    </row>
    <row r="39" spans="1:12" ht="51.6" customHeight="1" x14ac:dyDescent="0.2">
      <c r="A39" s="3" t="s">
        <v>17</v>
      </c>
      <c r="B39" s="328" t="s">
        <v>250</v>
      </c>
      <c r="C39" s="329"/>
      <c r="D39" s="329"/>
      <c r="E39" s="329"/>
      <c r="F39" s="329"/>
      <c r="G39" s="329"/>
      <c r="H39" s="330"/>
      <c r="I39" s="16">
        <f>ROUND(H29*H31*0*((60-52.5)/60),2)</f>
        <v>0</v>
      </c>
    </row>
    <row r="40" spans="1:12" ht="39.4" customHeight="1" x14ac:dyDescent="0.2">
      <c r="A40" s="3" t="s">
        <v>19</v>
      </c>
      <c r="B40" s="261" t="s">
        <v>246</v>
      </c>
      <c r="C40" s="219"/>
      <c r="D40" s="219"/>
      <c r="E40" s="219"/>
      <c r="F40" s="219"/>
      <c r="G40" s="219"/>
      <c r="H40" s="262"/>
      <c r="I40" s="16">
        <f>ROUND(SUM(I38:I39)*0.2,2)</f>
        <v>0</v>
      </c>
    </row>
    <row r="41" spans="1:12" ht="27.75" customHeight="1" x14ac:dyDescent="0.2">
      <c r="A41" s="292" t="s">
        <v>2</v>
      </c>
      <c r="B41" s="292"/>
      <c r="C41" s="292"/>
      <c r="D41" s="292"/>
      <c r="E41" s="292"/>
      <c r="F41" s="292"/>
      <c r="G41" s="292"/>
      <c r="H41" s="292"/>
      <c r="I41" s="19">
        <f>SUM(I37:I40)</f>
        <v>1654.4</v>
      </c>
    </row>
    <row r="42" spans="1:12" ht="9.75" customHeight="1" x14ac:dyDescent="0.2">
      <c r="A42" s="294"/>
      <c r="B42" s="294"/>
      <c r="C42" s="294"/>
      <c r="D42" s="294"/>
      <c r="E42" s="294"/>
      <c r="F42" s="294"/>
      <c r="G42" s="294"/>
      <c r="H42" s="294"/>
      <c r="I42" s="294"/>
    </row>
    <row r="43" spans="1:12" ht="29.25" customHeight="1" x14ac:dyDescent="0.2">
      <c r="A43" s="3" t="s">
        <v>42</v>
      </c>
      <c r="B43" s="244" t="s">
        <v>247</v>
      </c>
      <c r="C43" s="244"/>
      <c r="D43" s="244"/>
      <c r="E43" s="244"/>
      <c r="F43" s="244"/>
      <c r="G43" s="244"/>
      <c r="H43" s="244"/>
      <c r="I43" s="16">
        <v>0</v>
      </c>
      <c r="L43" s="18"/>
    </row>
    <row r="44" spans="1:12" ht="39" customHeight="1" x14ac:dyDescent="0.2">
      <c r="A44" s="292" t="s">
        <v>152</v>
      </c>
      <c r="B44" s="292"/>
      <c r="C44" s="292"/>
      <c r="D44" s="292"/>
      <c r="E44" s="292"/>
      <c r="F44" s="292"/>
      <c r="G44" s="292"/>
      <c r="H44" s="292"/>
      <c r="I44" s="19">
        <f>I43</f>
        <v>0</v>
      </c>
    </row>
    <row r="45" spans="1:12" ht="15.75" customHeight="1" x14ac:dyDescent="0.2">
      <c r="A45" s="279"/>
      <c r="B45" s="279"/>
      <c r="C45" s="279"/>
      <c r="D45" s="279"/>
      <c r="E45" s="279"/>
      <c r="F45" s="279"/>
      <c r="G45" s="279"/>
      <c r="H45" s="279"/>
      <c r="I45" s="279"/>
    </row>
    <row r="46" spans="1:12" ht="45" customHeight="1" x14ac:dyDescent="0.2">
      <c r="A46" s="293" t="s">
        <v>3</v>
      </c>
      <c r="B46" s="293"/>
      <c r="C46" s="293"/>
      <c r="D46" s="293"/>
      <c r="E46" s="293"/>
      <c r="F46" s="293"/>
      <c r="G46" s="293"/>
      <c r="H46" s="293"/>
      <c r="I46" s="20">
        <f>I41+I44</f>
        <v>1654.4</v>
      </c>
    </row>
    <row r="47" spans="1:12" ht="9.4" customHeight="1" x14ac:dyDescent="0.2">
      <c r="A47" s="294"/>
      <c r="B47" s="294"/>
      <c r="C47" s="294"/>
      <c r="D47" s="294"/>
      <c r="E47" s="294"/>
      <c r="F47" s="294"/>
      <c r="G47" s="294"/>
      <c r="H47" s="294"/>
      <c r="I47" s="294"/>
    </row>
    <row r="48" spans="1:12" ht="17.25" customHeight="1" x14ac:dyDescent="0.2">
      <c r="A48" s="295" t="s">
        <v>46</v>
      </c>
      <c r="B48" s="295"/>
      <c r="C48" s="295"/>
      <c r="D48" s="295"/>
      <c r="E48" s="295"/>
      <c r="F48" s="295"/>
      <c r="G48" s="295"/>
      <c r="H48" s="295"/>
      <c r="I48" s="295"/>
    </row>
    <row r="49" spans="1:9" ht="8.65" customHeight="1" x14ac:dyDescent="0.2">
      <c r="A49" s="286"/>
      <c r="B49" s="286"/>
      <c r="C49" s="286"/>
      <c r="D49" s="286"/>
      <c r="E49" s="286"/>
      <c r="F49" s="286"/>
      <c r="G49" s="286"/>
      <c r="H49" s="286"/>
      <c r="I49" s="286"/>
    </row>
    <row r="50" spans="1:9" ht="27" customHeight="1" x14ac:dyDescent="0.2">
      <c r="A50" s="253" t="s">
        <v>47</v>
      </c>
      <c r="B50" s="253"/>
      <c r="C50" s="253"/>
      <c r="D50" s="253"/>
      <c r="E50" s="253"/>
      <c r="F50" s="253"/>
      <c r="G50" s="253"/>
      <c r="H50" s="253"/>
      <c r="I50" s="253"/>
    </row>
    <row r="51" spans="1:9" ht="27" customHeight="1" x14ac:dyDescent="0.2">
      <c r="A51" s="287" t="s">
        <v>4</v>
      </c>
      <c r="B51" s="287"/>
      <c r="C51" s="287"/>
      <c r="D51" s="287"/>
      <c r="E51" s="287"/>
      <c r="F51" s="287"/>
      <c r="G51" s="287"/>
      <c r="H51" s="287"/>
      <c r="I51" s="287"/>
    </row>
    <row r="52" spans="1:9" ht="22.9" customHeight="1" x14ac:dyDescent="0.2">
      <c r="A52" s="21" t="s">
        <v>48</v>
      </c>
      <c r="B52" s="288" t="s">
        <v>5</v>
      </c>
      <c r="C52" s="288"/>
      <c r="D52" s="288"/>
      <c r="E52" s="288"/>
      <c r="F52" s="288"/>
      <c r="G52" s="288"/>
      <c r="H52" s="288"/>
      <c r="I52" s="22" t="s">
        <v>49</v>
      </c>
    </row>
    <row r="53" spans="1:9" ht="27.6" customHeight="1" x14ac:dyDescent="0.2">
      <c r="A53" s="21" t="s">
        <v>13</v>
      </c>
      <c r="B53" s="289" t="s">
        <v>6</v>
      </c>
      <c r="C53" s="289"/>
      <c r="D53" s="289"/>
      <c r="E53" s="289"/>
      <c r="F53" s="289"/>
      <c r="G53" s="289"/>
      <c r="H53" s="88">
        <v>8.3299999999999999E-2</v>
      </c>
      <c r="I53" s="89">
        <f>ROUND(I41*H53,2)</f>
        <v>137.81</v>
      </c>
    </row>
    <row r="54" spans="1:9" ht="111" customHeight="1" x14ac:dyDescent="0.2">
      <c r="A54" s="21" t="s">
        <v>15</v>
      </c>
      <c r="B54" s="290" t="s">
        <v>192</v>
      </c>
      <c r="C54" s="291"/>
      <c r="D54" s="291"/>
      <c r="E54" s="291"/>
      <c r="F54" s="291"/>
      <c r="G54" s="291"/>
      <c r="H54" s="93">
        <v>3.0249999999999999E-2</v>
      </c>
      <c r="I54" s="89">
        <f>ROUND(I41*H54,2)</f>
        <v>50.05</v>
      </c>
    </row>
    <row r="55" spans="1:9" ht="15.75" customHeight="1" x14ac:dyDescent="0.2">
      <c r="A55" s="283" t="s">
        <v>50</v>
      </c>
      <c r="B55" s="283"/>
      <c r="C55" s="283"/>
      <c r="D55" s="283"/>
      <c r="E55" s="283"/>
      <c r="F55" s="283"/>
      <c r="G55" s="283"/>
      <c r="H55" s="283"/>
      <c r="I55" s="35">
        <f>SUM(I53+I54)</f>
        <v>187.86</v>
      </c>
    </row>
    <row r="56" spans="1:9" ht="60" customHeight="1" x14ac:dyDescent="0.2">
      <c r="A56" s="269" t="s">
        <v>191</v>
      </c>
      <c r="B56" s="269"/>
      <c r="C56" s="269"/>
      <c r="D56" s="269"/>
      <c r="E56" s="269"/>
      <c r="F56" s="269"/>
      <c r="G56" s="269"/>
      <c r="H56" s="269"/>
      <c r="I56" s="269"/>
    </row>
    <row r="57" spans="1:9" ht="7.5" customHeight="1" x14ac:dyDescent="0.2">
      <c r="A57" s="284"/>
      <c r="B57" s="284"/>
      <c r="C57" s="284"/>
      <c r="D57" s="284"/>
      <c r="E57" s="284"/>
      <c r="F57" s="284"/>
      <c r="G57" s="284"/>
      <c r="H57" s="284"/>
      <c r="I57" s="284"/>
    </row>
    <row r="58" spans="1:9" s="25" customFormat="1" ht="32.25" customHeight="1" x14ac:dyDescent="0.2">
      <c r="A58" s="285" t="s">
        <v>150</v>
      </c>
      <c r="B58" s="285"/>
      <c r="C58" s="285"/>
      <c r="D58" s="285"/>
      <c r="E58" s="285"/>
      <c r="F58" s="285"/>
      <c r="G58" s="285"/>
      <c r="H58" s="285"/>
      <c r="I58" s="285"/>
    </row>
    <row r="59" spans="1:9" s="25" customFormat="1" ht="27" customHeight="1" x14ac:dyDescent="0.2">
      <c r="A59" s="26" t="s">
        <v>51</v>
      </c>
      <c r="B59" s="272" t="s">
        <v>52</v>
      </c>
      <c r="C59" s="272"/>
      <c r="D59" s="272"/>
      <c r="E59" s="272"/>
      <c r="F59" s="272"/>
      <c r="G59" s="272"/>
      <c r="H59" s="5" t="s">
        <v>40</v>
      </c>
      <c r="I59" s="13" t="s">
        <v>53</v>
      </c>
    </row>
    <row r="60" spans="1:9" s="25" customFormat="1" ht="19.149999999999999" customHeight="1" x14ac:dyDescent="0.2">
      <c r="A60" s="28" t="s">
        <v>13</v>
      </c>
      <c r="B60" s="232" t="s">
        <v>54</v>
      </c>
      <c r="C60" s="232"/>
      <c r="D60" s="232"/>
      <c r="E60" s="232"/>
      <c r="F60" s="232"/>
      <c r="G60" s="232"/>
      <c r="H60" s="29">
        <v>0.2</v>
      </c>
      <c r="I60" s="30">
        <f>ROUND(($I$41+$I$55+$I$44)*H60,2)</f>
        <v>368.45</v>
      </c>
    </row>
    <row r="61" spans="1:9" s="25" customFormat="1" ht="19.149999999999999" customHeight="1" x14ac:dyDescent="0.2">
      <c r="A61" s="28" t="s">
        <v>15</v>
      </c>
      <c r="B61" s="232" t="s">
        <v>55</v>
      </c>
      <c r="C61" s="232"/>
      <c r="D61" s="232"/>
      <c r="E61" s="232"/>
      <c r="F61" s="232"/>
      <c r="G61" s="232"/>
      <c r="H61" s="31">
        <v>2.5000000000000001E-2</v>
      </c>
      <c r="I61" s="30">
        <f t="shared" ref="I61:I67" si="0">ROUND(($I$41+$I$55+$I$44)*H61,2)</f>
        <v>46.06</v>
      </c>
    </row>
    <row r="62" spans="1:9" s="25" customFormat="1" ht="56.65" customHeight="1" x14ac:dyDescent="0.2">
      <c r="A62" s="28" t="s">
        <v>17</v>
      </c>
      <c r="B62" s="282" t="s">
        <v>144</v>
      </c>
      <c r="C62" s="282"/>
      <c r="D62" s="32" t="s">
        <v>56</v>
      </c>
      <c r="E62" s="168">
        <v>0.03</v>
      </c>
      <c r="F62" s="32" t="s">
        <v>57</v>
      </c>
      <c r="G62" s="169">
        <v>1</v>
      </c>
      <c r="H62" s="33">
        <f>ROUND((E62*G62),6)</f>
        <v>0.03</v>
      </c>
      <c r="I62" s="30">
        <f t="shared" si="0"/>
        <v>55.27</v>
      </c>
    </row>
    <row r="63" spans="1:9" s="25" customFormat="1" ht="15.75" customHeight="1" x14ac:dyDescent="0.2">
      <c r="A63" s="28" t="s">
        <v>19</v>
      </c>
      <c r="B63" s="232" t="s">
        <v>58</v>
      </c>
      <c r="C63" s="232"/>
      <c r="D63" s="232"/>
      <c r="E63" s="232"/>
      <c r="F63" s="232"/>
      <c r="G63" s="232"/>
      <c r="H63" s="29">
        <v>1.4999999999999999E-2</v>
      </c>
      <c r="I63" s="30">
        <f t="shared" si="0"/>
        <v>27.63</v>
      </c>
    </row>
    <row r="64" spans="1:9" s="25" customFormat="1" ht="15.75" customHeight="1" x14ac:dyDescent="0.2">
      <c r="A64" s="28" t="s">
        <v>42</v>
      </c>
      <c r="B64" s="232" t="s">
        <v>59</v>
      </c>
      <c r="C64" s="232"/>
      <c r="D64" s="232"/>
      <c r="E64" s="232"/>
      <c r="F64" s="232"/>
      <c r="G64" s="232"/>
      <c r="H64" s="29">
        <v>0.01</v>
      </c>
      <c r="I64" s="30">
        <f t="shared" si="0"/>
        <v>18.420000000000002</v>
      </c>
    </row>
    <row r="65" spans="1:9" s="25" customFormat="1" ht="15.75" customHeight="1" x14ac:dyDescent="0.2">
      <c r="A65" s="28" t="s">
        <v>43</v>
      </c>
      <c r="B65" s="244" t="s">
        <v>60</v>
      </c>
      <c r="C65" s="244"/>
      <c r="D65" s="244"/>
      <c r="E65" s="244"/>
      <c r="F65" s="244"/>
      <c r="G65" s="244"/>
      <c r="H65" s="31">
        <v>6.0000000000000001E-3</v>
      </c>
      <c r="I65" s="30">
        <f t="shared" si="0"/>
        <v>11.05</v>
      </c>
    </row>
    <row r="66" spans="1:9" s="25" customFormat="1" ht="15.75" customHeight="1" x14ac:dyDescent="0.2">
      <c r="A66" s="28" t="s">
        <v>44</v>
      </c>
      <c r="B66" s="232" t="s">
        <v>61</v>
      </c>
      <c r="C66" s="232"/>
      <c r="D66" s="232"/>
      <c r="E66" s="232"/>
      <c r="F66" s="232"/>
      <c r="G66" s="232"/>
      <c r="H66" s="29">
        <v>2E-3</v>
      </c>
      <c r="I66" s="30">
        <f t="shared" si="0"/>
        <v>3.68</v>
      </c>
    </row>
    <row r="67" spans="1:9" ht="15.75" customHeight="1" x14ac:dyDescent="0.2">
      <c r="A67" s="28" t="s">
        <v>45</v>
      </c>
      <c r="B67" s="244" t="s">
        <v>62</v>
      </c>
      <c r="C67" s="244"/>
      <c r="D67" s="244"/>
      <c r="E67" s="244"/>
      <c r="F67" s="244"/>
      <c r="G67" s="244"/>
      <c r="H67" s="31">
        <v>0.08</v>
      </c>
      <c r="I67" s="30">
        <f t="shared" si="0"/>
        <v>147.38</v>
      </c>
    </row>
    <row r="68" spans="1:9" ht="15.75" customHeight="1" x14ac:dyDescent="0.2">
      <c r="A68" s="233" t="s">
        <v>50</v>
      </c>
      <c r="B68" s="233"/>
      <c r="C68" s="233"/>
      <c r="D68" s="233"/>
      <c r="E68" s="233"/>
      <c r="F68" s="233"/>
      <c r="G68" s="233"/>
      <c r="H68" s="34">
        <f>SUM(H60:H67)</f>
        <v>0.36800000000000005</v>
      </c>
      <c r="I68" s="35">
        <f>SUM(I60:I67)</f>
        <v>677.93999999999983</v>
      </c>
    </row>
    <row r="69" spans="1:9" ht="8.65" customHeight="1" x14ac:dyDescent="0.2">
      <c r="A69" s="36"/>
      <c r="B69" s="37"/>
      <c r="C69" s="37"/>
      <c r="D69" s="37"/>
      <c r="E69" s="37"/>
      <c r="F69" s="37"/>
      <c r="G69" s="37"/>
      <c r="H69" s="38"/>
      <c r="I69" s="39"/>
    </row>
    <row r="70" spans="1:9" ht="35.25" customHeight="1" x14ac:dyDescent="0.2">
      <c r="A70" s="278" t="s">
        <v>63</v>
      </c>
      <c r="B70" s="278"/>
      <c r="C70" s="278"/>
      <c r="D70" s="278"/>
      <c r="E70" s="278"/>
      <c r="F70" s="278"/>
      <c r="G70" s="278"/>
      <c r="H70" s="278"/>
      <c r="I70" s="278"/>
    </row>
    <row r="71" spans="1:9" ht="9.75" customHeight="1" x14ac:dyDescent="0.2">
      <c r="A71" s="277"/>
      <c r="B71" s="277"/>
      <c r="C71" s="277"/>
      <c r="D71" s="277"/>
      <c r="E71" s="277"/>
      <c r="F71" s="277"/>
      <c r="G71" s="277"/>
      <c r="H71" s="277"/>
      <c r="I71" s="277"/>
    </row>
    <row r="72" spans="1:9" ht="20.65" customHeight="1" x14ac:dyDescent="0.2">
      <c r="A72" s="250" t="s">
        <v>64</v>
      </c>
      <c r="B72" s="250"/>
      <c r="C72" s="250"/>
      <c r="D72" s="250"/>
      <c r="E72" s="250"/>
      <c r="F72" s="250"/>
      <c r="G72" s="250"/>
      <c r="H72" s="250"/>
      <c r="I72" s="250"/>
    </row>
    <row r="73" spans="1:9" ht="27" customHeight="1" x14ac:dyDescent="0.2">
      <c r="A73" s="40" t="s">
        <v>65</v>
      </c>
      <c r="B73" s="242" t="s">
        <v>66</v>
      </c>
      <c r="C73" s="242"/>
      <c r="D73" s="242"/>
      <c r="E73" s="242"/>
      <c r="F73" s="242"/>
      <c r="G73" s="242"/>
      <c r="H73" s="242"/>
      <c r="I73" s="13" t="s">
        <v>49</v>
      </c>
    </row>
    <row r="74" spans="1:9" ht="23.65" customHeight="1" x14ac:dyDescent="0.2">
      <c r="A74" s="41" t="s">
        <v>13</v>
      </c>
      <c r="B74" s="261" t="s">
        <v>67</v>
      </c>
      <c r="C74" s="261"/>
      <c r="D74" s="261"/>
      <c r="E74" s="261"/>
      <c r="F74" s="261"/>
      <c r="G74" s="261"/>
      <c r="H74" s="261"/>
      <c r="I74" s="42">
        <f>IF(ROUND((H75*H77*H76)-(I37*H78),2)&lt;0,0,ROUND((H75*H77*H76)-(I37*H78),2))</f>
        <v>158.13999999999999</v>
      </c>
    </row>
    <row r="75" spans="1:9" ht="27.6" customHeight="1" x14ac:dyDescent="0.2">
      <c r="A75" s="41"/>
      <c r="B75" s="261" t="s">
        <v>251</v>
      </c>
      <c r="C75" s="261"/>
      <c r="D75" s="261"/>
      <c r="E75" s="261"/>
      <c r="F75" s="261"/>
      <c r="G75" s="261"/>
      <c r="H75" s="170">
        <v>4.95</v>
      </c>
      <c r="I75" s="43" t="s">
        <v>24</v>
      </c>
    </row>
    <row r="76" spans="1:9" ht="20.100000000000001" customHeight="1" x14ac:dyDescent="0.2">
      <c r="A76" s="41"/>
      <c r="B76" s="244" t="s">
        <v>68</v>
      </c>
      <c r="C76" s="244"/>
      <c r="D76" s="244"/>
      <c r="E76" s="244"/>
      <c r="F76" s="244"/>
      <c r="G76" s="244"/>
      <c r="H76" s="44">
        <v>2</v>
      </c>
      <c r="I76" s="43" t="s">
        <v>24</v>
      </c>
    </row>
    <row r="77" spans="1:9" ht="20.100000000000001" customHeight="1" x14ac:dyDescent="0.2">
      <c r="A77" s="41"/>
      <c r="B77" s="281" t="s">
        <v>69</v>
      </c>
      <c r="C77" s="281"/>
      <c r="D77" s="281"/>
      <c r="E77" s="281"/>
      <c r="F77" s="281"/>
      <c r="G77" s="281"/>
      <c r="H77" s="45">
        <v>26</v>
      </c>
      <c r="I77" s="43"/>
    </row>
    <row r="78" spans="1:9" ht="26.1" customHeight="1" x14ac:dyDescent="0.2">
      <c r="A78" s="41"/>
      <c r="B78" s="281" t="s">
        <v>239</v>
      </c>
      <c r="C78" s="281"/>
      <c r="D78" s="281"/>
      <c r="E78" s="281"/>
      <c r="F78" s="281"/>
      <c r="G78" s="281"/>
      <c r="H78" s="46">
        <v>0.06</v>
      </c>
      <c r="I78" s="43"/>
    </row>
    <row r="79" spans="1:9" ht="14.65" customHeight="1" x14ac:dyDescent="0.2">
      <c r="A79" s="41" t="s">
        <v>15</v>
      </c>
      <c r="B79" s="261" t="s">
        <v>70</v>
      </c>
      <c r="C79" s="261"/>
      <c r="D79" s="261"/>
      <c r="E79" s="261"/>
      <c r="F79" s="261"/>
      <c r="G79" s="261"/>
      <c r="H79" s="261"/>
      <c r="I79" s="47">
        <f>ROUND(H81*H80*(1-H82),2)*1+ROUND(21.726*6*(1-H82),2)*0</f>
        <v>561.6</v>
      </c>
    </row>
    <row r="80" spans="1:9" ht="15.75" customHeight="1" x14ac:dyDescent="0.2">
      <c r="A80" s="41"/>
      <c r="B80" s="261" t="s">
        <v>238</v>
      </c>
      <c r="C80" s="261"/>
      <c r="D80" s="261"/>
      <c r="E80" s="261"/>
      <c r="F80" s="261"/>
      <c r="G80" s="261"/>
      <c r="H80" s="170">
        <v>27</v>
      </c>
      <c r="I80" s="43" t="s">
        <v>24</v>
      </c>
    </row>
    <row r="81" spans="1:9" ht="15.75" customHeight="1" x14ac:dyDescent="0.2">
      <c r="A81" s="41"/>
      <c r="B81" s="261" t="s">
        <v>71</v>
      </c>
      <c r="C81" s="261"/>
      <c r="D81" s="261"/>
      <c r="E81" s="261"/>
      <c r="F81" s="261"/>
      <c r="G81" s="261"/>
      <c r="H81" s="45">
        <v>26</v>
      </c>
      <c r="I81" s="43"/>
    </row>
    <row r="82" spans="1:9" ht="22.5" customHeight="1" x14ac:dyDescent="0.2">
      <c r="A82" s="41"/>
      <c r="B82" s="281" t="s">
        <v>237</v>
      </c>
      <c r="C82" s="281"/>
      <c r="D82" s="281"/>
      <c r="E82" s="281"/>
      <c r="F82" s="281"/>
      <c r="G82" s="281"/>
      <c r="H82" s="46">
        <v>0.2</v>
      </c>
      <c r="I82" s="43"/>
    </row>
    <row r="83" spans="1:9" ht="15.75" customHeight="1" x14ac:dyDescent="0.2">
      <c r="A83" s="41" t="s">
        <v>17</v>
      </c>
      <c r="B83" s="261" t="s">
        <v>72</v>
      </c>
      <c r="C83" s="261"/>
      <c r="D83" s="261"/>
      <c r="E83" s="261"/>
      <c r="F83" s="261"/>
      <c r="G83" s="261"/>
      <c r="H83" s="261"/>
      <c r="I83" s="171">
        <v>0</v>
      </c>
    </row>
    <row r="84" spans="1:9" ht="34.5" customHeight="1" x14ac:dyDescent="0.2">
      <c r="A84" s="41" t="s">
        <v>19</v>
      </c>
      <c r="B84" s="261" t="s">
        <v>240</v>
      </c>
      <c r="C84" s="261"/>
      <c r="D84" s="261"/>
      <c r="E84" s="261"/>
      <c r="F84" s="261"/>
      <c r="G84" s="261"/>
      <c r="H84" s="261"/>
      <c r="I84" s="171">
        <f>ROUND(I41*26*0.00023,2)</f>
        <v>9.89</v>
      </c>
    </row>
    <row r="85" spans="1:9" s="25" customFormat="1" ht="31.5" customHeight="1" x14ac:dyDescent="0.2">
      <c r="A85" s="41" t="s">
        <v>42</v>
      </c>
      <c r="B85" s="244" t="s">
        <v>241</v>
      </c>
      <c r="C85" s="244"/>
      <c r="D85" s="244"/>
      <c r="E85" s="244"/>
      <c r="F85" s="244"/>
      <c r="G85" s="244"/>
      <c r="H85" s="244"/>
      <c r="I85" s="171">
        <f>ROUND(($I$37*0.0052066)/12,2)</f>
        <v>0.72</v>
      </c>
    </row>
    <row r="86" spans="1:9" s="25" customFormat="1" ht="31.5" customHeight="1" x14ac:dyDescent="0.2">
      <c r="A86" s="41" t="s">
        <v>43</v>
      </c>
      <c r="B86" s="244" t="s">
        <v>243</v>
      </c>
      <c r="C86" s="244"/>
      <c r="D86" s="244"/>
      <c r="E86" s="244"/>
      <c r="F86" s="244"/>
      <c r="G86" s="244"/>
      <c r="H86" s="244"/>
      <c r="I86" s="134">
        <f>ROUND(($I$37*0.1),2)</f>
        <v>165.44</v>
      </c>
    </row>
    <row r="87" spans="1:9" s="25" customFormat="1" ht="18.399999999999999" customHeight="1" x14ac:dyDescent="0.2">
      <c r="A87" s="49"/>
      <c r="B87" s="276" t="s">
        <v>50</v>
      </c>
      <c r="C87" s="276"/>
      <c r="D87" s="276"/>
      <c r="E87" s="276"/>
      <c r="F87" s="276"/>
      <c r="G87" s="276"/>
      <c r="H87" s="276"/>
      <c r="I87" s="35">
        <f>SUM(I74:I86)</f>
        <v>895.79</v>
      </c>
    </row>
    <row r="88" spans="1:9" s="25" customFormat="1" ht="9.4" customHeight="1" x14ac:dyDescent="0.2">
      <c r="A88" s="277"/>
      <c r="B88" s="277"/>
      <c r="C88" s="277"/>
      <c r="D88" s="277"/>
      <c r="E88" s="277"/>
      <c r="F88" s="277"/>
      <c r="G88" s="277"/>
      <c r="H88" s="277"/>
      <c r="I88" s="277"/>
    </row>
    <row r="89" spans="1:9" s="25" customFormat="1" ht="32.65" customHeight="1" x14ac:dyDescent="0.2">
      <c r="A89" s="278" t="s">
        <v>74</v>
      </c>
      <c r="B89" s="278"/>
      <c r="C89" s="278"/>
      <c r="D89" s="278"/>
      <c r="E89" s="278"/>
      <c r="F89" s="278"/>
      <c r="G89" s="278"/>
      <c r="H89" s="278"/>
      <c r="I89" s="278"/>
    </row>
    <row r="90" spans="1:9" s="25" customFormat="1" ht="8.65" customHeight="1" x14ac:dyDescent="0.2">
      <c r="A90" s="279"/>
      <c r="B90" s="279"/>
      <c r="C90" s="279"/>
      <c r="D90" s="279"/>
      <c r="E90" s="279"/>
      <c r="F90" s="279"/>
      <c r="G90" s="279"/>
      <c r="H90" s="279"/>
      <c r="I90" s="279"/>
    </row>
    <row r="91" spans="1:9" s="25" customFormat="1" ht="17.25" customHeight="1" x14ac:dyDescent="0.2">
      <c r="A91" s="280" t="s">
        <v>75</v>
      </c>
      <c r="B91" s="280"/>
      <c r="C91" s="280"/>
      <c r="D91" s="280"/>
      <c r="E91" s="280"/>
      <c r="F91" s="280"/>
      <c r="G91" s="280"/>
      <c r="H91" s="280"/>
      <c r="I91" s="280"/>
    </row>
    <row r="92" spans="1:9" s="25" customFormat="1" ht="16.149999999999999" customHeight="1" x14ac:dyDescent="0.2">
      <c r="A92" s="27">
        <v>2</v>
      </c>
      <c r="B92" s="272" t="s">
        <v>76</v>
      </c>
      <c r="C92" s="272"/>
      <c r="D92" s="272"/>
      <c r="E92" s="272"/>
      <c r="F92" s="272"/>
      <c r="G92" s="272"/>
      <c r="H92" s="272"/>
      <c r="I92" s="27" t="s">
        <v>49</v>
      </c>
    </row>
    <row r="93" spans="1:9" s="25" customFormat="1" ht="14.85" customHeight="1" x14ac:dyDescent="0.2">
      <c r="A93" s="50" t="s">
        <v>48</v>
      </c>
      <c r="B93" s="273" t="s">
        <v>7</v>
      </c>
      <c r="C93" s="273"/>
      <c r="D93" s="273"/>
      <c r="E93" s="273"/>
      <c r="F93" s="273"/>
      <c r="G93" s="273"/>
      <c r="H93" s="273"/>
      <c r="I93" s="51">
        <f>I55</f>
        <v>187.86</v>
      </c>
    </row>
    <row r="94" spans="1:9" s="25" customFormat="1" ht="14.65" customHeight="1" x14ac:dyDescent="0.2">
      <c r="A94" s="50" t="s">
        <v>51</v>
      </c>
      <c r="B94" s="273" t="s">
        <v>52</v>
      </c>
      <c r="C94" s="273"/>
      <c r="D94" s="273"/>
      <c r="E94" s="273"/>
      <c r="F94" s="273"/>
      <c r="G94" s="273"/>
      <c r="H94" s="273"/>
      <c r="I94" s="51">
        <f>I68</f>
        <v>677.93999999999983</v>
      </c>
    </row>
    <row r="95" spans="1:9" s="25" customFormat="1" ht="14.65" customHeight="1" x14ac:dyDescent="0.2">
      <c r="A95" s="50" t="s">
        <v>65</v>
      </c>
      <c r="B95" s="273" t="s">
        <v>66</v>
      </c>
      <c r="C95" s="273"/>
      <c r="D95" s="273"/>
      <c r="E95" s="273"/>
      <c r="F95" s="273"/>
      <c r="G95" s="273"/>
      <c r="H95" s="273"/>
      <c r="I95" s="51">
        <f>I87</f>
        <v>895.79</v>
      </c>
    </row>
    <row r="96" spans="1:9" s="25" customFormat="1" ht="14.65" customHeight="1" x14ac:dyDescent="0.2">
      <c r="A96" s="274" t="s">
        <v>50</v>
      </c>
      <c r="B96" s="274"/>
      <c r="C96" s="274"/>
      <c r="D96" s="274"/>
      <c r="E96" s="274"/>
      <c r="F96" s="274"/>
      <c r="G96" s="274"/>
      <c r="H96" s="274"/>
      <c r="I96" s="52">
        <f>SUM(I93+I94+I95)</f>
        <v>1761.5899999999997</v>
      </c>
    </row>
    <row r="97" spans="1:10" s="25" customFormat="1" ht="8.65" customHeight="1" x14ac:dyDescent="0.2">
      <c r="A97" s="275"/>
      <c r="B97" s="275"/>
      <c r="C97" s="275"/>
      <c r="D97" s="275"/>
      <c r="E97" s="275"/>
      <c r="F97" s="275"/>
      <c r="G97" s="275"/>
      <c r="H97" s="275"/>
      <c r="I97" s="275"/>
    </row>
    <row r="98" spans="1:10" s="25" customFormat="1" ht="20.65" customHeight="1" x14ac:dyDescent="0.2">
      <c r="A98" s="240" t="s">
        <v>77</v>
      </c>
      <c r="B98" s="240"/>
      <c r="C98" s="240"/>
      <c r="D98" s="240"/>
      <c r="E98" s="240"/>
      <c r="F98" s="240"/>
      <c r="G98" s="240"/>
      <c r="H98" s="240"/>
      <c r="I98" s="240"/>
    </row>
    <row r="99" spans="1:10" s="25" customFormat="1" ht="15" x14ac:dyDescent="0.2">
      <c r="A99" s="40">
        <v>3</v>
      </c>
      <c r="B99" s="241" t="s">
        <v>78</v>
      </c>
      <c r="C99" s="241"/>
      <c r="D99" s="241"/>
      <c r="E99" s="241"/>
      <c r="F99" s="241"/>
      <c r="G99" s="241"/>
      <c r="H99" s="241"/>
      <c r="I99" s="40" t="s">
        <v>49</v>
      </c>
    </row>
    <row r="100" spans="1:10" s="25" customFormat="1" ht="70.150000000000006" customHeight="1" x14ac:dyDescent="0.2">
      <c r="A100" s="41" t="s">
        <v>13</v>
      </c>
      <c r="B100" s="230" t="s">
        <v>189</v>
      </c>
      <c r="C100" s="230"/>
      <c r="D100" s="230"/>
      <c r="E100" s="230"/>
      <c r="F100" s="230"/>
      <c r="G100" s="230"/>
      <c r="H100" s="230"/>
      <c r="I100" s="171">
        <f>ROUND(((I41/12)+($I$53/12)+(I41*0.121/12))*(30/30)*5%,2)</f>
        <v>8.3000000000000007</v>
      </c>
    </row>
    <row r="101" spans="1:10" s="25" customFormat="1" ht="14.65" customHeight="1" x14ac:dyDescent="0.2">
      <c r="A101" s="41" t="s">
        <v>15</v>
      </c>
      <c r="B101" s="271" t="s">
        <v>79</v>
      </c>
      <c r="C101" s="271"/>
      <c r="D101" s="271"/>
      <c r="E101" s="271"/>
      <c r="F101" s="271"/>
      <c r="G101" s="271"/>
      <c r="H101" s="271"/>
      <c r="I101" s="30">
        <f>ROUND($H$67*I100,2)</f>
        <v>0.66</v>
      </c>
    </row>
    <row r="102" spans="1:10" s="25" customFormat="1" ht="110.1" customHeight="1" x14ac:dyDescent="0.2">
      <c r="A102" s="41" t="s">
        <v>17</v>
      </c>
      <c r="B102" s="232" t="s">
        <v>190</v>
      </c>
      <c r="C102" s="232"/>
      <c r="D102" s="232"/>
      <c r="E102" s="232"/>
      <c r="F102" s="232"/>
      <c r="G102" s="232"/>
      <c r="H102" s="232"/>
      <c r="I102" s="171">
        <f>ROUND(($I$41*(7/30)/12*(30/30))*100%,2)</f>
        <v>32.17</v>
      </c>
    </row>
    <row r="103" spans="1:10" s="25" customFormat="1" ht="20.100000000000001" customHeight="1" x14ac:dyDescent="0.2">
      <c r="A103" s="41" t="s">
        <v>19</v>
      </c>
      <c r="B103" s="271" t="s">
        <v>80</v>
      </c>
      <c r="C103" s="271"/>
      <c r="D103" s="271"/>
      <c r="E103" s="271"/>
      <c r="F103" s="271"/>
      <c r="G103" s="271"/>
      <c r="H103" s="271"/>
      <c r="I103" s="30">
        <f>ROUND($H$68*I102,2)</f>
        <v>11.84</v>
      </c>
    </row>
    <row r="104" spans="1:10" s="25" customFormat="1" ht="36.75" customHeight="1" x14ac:dyDescent="0.2">
      <c r="A104" s="41" t="s">
        <v>42</v>
      </c>
      <c r="B104" s="232" t="s">
        <v>8</v>
      </c>
      <c r="C104" s="232"/>
      <c r="D104" s="232"/>
      <c r="E104" s="232"/>
      <c r="F104" s="232"/>
      <c r="G104" s="232"/>
      <c r="H104" s="92">
        <v>0.04</v>
      </c>
      <c r="I104" s="30">
        <f>ROUND(I41*H104,2)</f>
        <v>66.180000000000007</v>
      </c>
    </row>
    <row r="105" spans="1:10" s="25" customFormat="1" ht="15.75" customHeight="1" x14ac:dyDescent="0.2">
      <c r="A105" s="233" t="s">
        <v>81</v>
      </c>
      <c r="B105" s="233"/>
      <c r="C105" s="233"/>
      <c r="D105" s="233"/>
      <c r="E105" s="233"/>
      <c r="F105" s="233"/>
      <c r="G105" s="233"/>
      <c r="H105" s="233"/>
      <c r="I105" s="35">
        <f>SUM(I100:I104)</f>
        <v>119.15</v>
      </c>
    </row>
    <row r="106" spans="1:10" s="25" customFormat="1" ht="9.4" customHeight="1" x14ac:dyDescent="0.2">
      <c r="A106" s="222"/>
      <c r="B106" s="222"/>
      <c r="C106" s="222"/>
      <c r="D106" s="222"/>
      <c r="E106" s="222"/>
      <c r="F106" s="222"/>
      <c r="G106" s="222"/>
      <c r="H106" s="222"/>
      <c r="I106" s="222"/>
    </row>
    <row r="107" spans="1:10" ht="24" customHeight="1" x14ac:dyDescent="0.2">
      <c r="A107" s="249" t="s">
        <v>82</v>
      </c>
      <c r="B107" s="249"/>
      <c r="C107" s="249"/>
      <c r="D107" s="249"/>
      <c r="E107" s="249"/>
      <c r="F107" s="249"/>
      <c r="G107" s="249"/>
      <c r="H107" s="249"/>
      <c r="I107" s="249"/>
    </row>
    <row r="108" spans="1:10" ht="24.75" customHeight="1" x14ac:dyDescent="0.2">
      <c r="A108" s="269" t="s">
        <v>83</v>
      </c>
      <c r="B108" s="269"/>
      <c r="C108" s="269"/>
      <c r="D108" s="269"/>
      <c r="E108" s="269"/>
      <c r="F108" s="269"/>
      <c r="G108" s="269"/>
      <c r="H108" s="269"/>
      <c r="I108" s="269"/>
    </row>
    <row r="109" spans="1:10" ht="56.1" customHeight="1" x14ac:dyDescent="0.2">
      <c r="A109" s="270" t="s">
        <v>151</v>
      </c>
      <c r="B109" s="270"/>
      <c r="C109" s="270"/>
      <c r="D109" s="270"/>
      <c r="E109" s="270"/>
      <c r="F109" s="270"/>
      <c r="G109" s="270"/>
      <c r="H109" s="270"/>
      <c r="I109" s="270"/>
    </row>
    <row r="110" spans="1:10" ht="7.5" customHeight="1" x14ac:dyDescent="0.2">
      <c r="A110" s="264"/>
      <c r="B110" s="264"/>
      <c r="C110" s="264"/>
      <c r="D110" s="264"/>
      <c r="E110" s="264"/>
      <c r="F110" s="264"/>
      <c r="G110" s="264"/>
      <c r="H110" s="264"/>
      <c r="I110" s="264"/>
    </row>
    <row r="111" spans="1:10" ht="59.1" customHeight="1" x14ac:dyDescent="0.2">
      <c r="A111" s="53" t="s">
        <v>84</v>
      </c>
      <c r="B111" s="54">
        <f>I41</f>
        <v>1654.4</v>
      </c>
      <c r="C111" s="90"/>
      <c r="D111" s="53" t="s">
        <v>143</v>
      </c>
      <c r="E111" s="54">
        <f>I96-I74-I79 +I115</f>
        <v>1247.2415199999998</v>
      </c>
      <c r="F111" s="91"/>
      <c r="G111" s="53" t="s">
        <v>85</v>
      </c>
      <c r="H111" s="54">
        <f>I105</f>
        <v>119.15</v>
      </c>
      <c r="I111" s="55">
        <f>B111+E111+H111</f>
        <v>3020.7915200000002</v>
      </c>
      <c r="J111" s="18">
        <f>I111+I115</f>
        <v>3226.1830400000003</v>
      </c>
    </row>
    <row r="112" spans="1:10" ht="7.5" customHeight="1" x14ac:dyDescent="0.2">
      <c r="A112" s="265"/>
      <c r="B112" s="265"/>
      <c r="C112" s="265"/>
      <c r="D112" s="265"/>
      <c r="E112" s="265"/>
      <c r="F112" s="265"/>
      <c r="G112" s="265"/>
      <c r="H112" s="265"/>
      <c r="I112" s="265"/>
    </row>
    <row r="113" spans="1:11" ht="24" customHeight="1" x14ac:dyDescent="0.2">
      <c r="A113" s="266" t="s">
        <v>9</v>
      </c>
      <c r="B113" s="266"/>
      <c r="C113" s="266"/>
      <c r="D113" s="266"/>
      <c r="E113" s="266"/>
      <c r="F113" s="266"/>
      <c r="G113" s="266"/>
      <c r="H113" s="266"/>
      <c r="I113" s="266"/>
    </row>
    <row r="114" spans="1:11" ht="24" customHeight="1" x14ac:dyDescent="0.25">
      <c r="A114" s="56" t="s">
        <v>86</v>
      </c>
      <c r="B114" s="241" t="s">
        <v>87</v>
      </c>
      <c r="C114" s="241"/>
      <c r="D114" s="241"/>
      <c r="E114" s="241"/>
      <c r="F114" s="241"/>
      <c r="G114" s="241"/>
      <c r="H114" s="241"/>
      <c r="I114" s="56" t="s">
        <v>49</v>
      </c>
    </row>
    <row r="115" spans="1:11" ht="64.150000000000006" customHeight="1" x14ac:dyDescent="0.2">
      <c r="A115" s="87" t="s">
        <v>13</v>
      </c>
      <c r="B115" s="267" t="s">
        <v>141</v>
      </c>
      <c r="C115" s="268"/>
      <c r="D115" s="268"/>
      <c r="E115" s="268"/>
      <c r="F115" s="268"/>
      <c r="G115" s="95">
        <v>9.0749999999999997E-2</v>
      </c>
      <c r="H115" s="94">
        <f>H68</f>
        <v>0.36800000000000005</v>
      </c>
      <c r="I115" s="30">
        <f>ROUND(G115*I41,2)*(1+H115)</f>
        <v>205.39151999999999</v>
      </c>
      <c r="J115" s="18"/>
    </row>
    <row r="116" spans="1:11" ht="30" customHeight="1" x14ac:dyDescent="0.2">
      <c r="A116" s="41" t="s">
        <v>15</v>
      </c>
      <c r="B116" s="254" t="s">
        <v>147</v>
      </c>
      <c r="C116" s="254"/>
      <c r="D116" s="254"/>
      <c r="E116" s="254"/>
      <c r="F116" s="254"/>
      <c r="G116" s="254"/>
      <c r="H116" s="254"/>
      <c r="I116" s="30">
        <f>ROUND((1/30)/12*(I111),2)</f>
        <v>8.39</v>
      </c>
      <c r="K116" s="18"/>
    </row>
    <row r="117" spans="1:11" ht="32.1" customHeight="1" x14ac:dyDescent="0.2">
      <c r="A117" s="41" t="s">
        <v>17</v>
      </c>
      <c r="B117" s="254" t="s">
        <v>145</v>
      </c>
      <c r="C117" s="254"/>
      <c r="D117" s="254"/>
      <c r="E117" s="254"/>
      <c r="F117" s="254"/>
      <c r="G117" s="254"/>
      <c r="H117" s="254"/>
      <c r="I117" s="30">
        <f>ROUND((5/30)/12*0.015*(I111),2)</f>
        <v>0.63</v>
      </c>
    </row>
    <row r="118" spans="1:11" ht="31.15" customHeight="1" x14ac:dyDescent="0.2">
      <c r="A118" s="41" t="s">
        <v>19</v>
      </c>
      <c r="B118" s="255" t="s">
        <v>149</v>
      </c>
      <c r="C118" s="256"/>
      <c r="D118" s="256"/>
      <c r="E118" s="256"/>
      <c r="F118" s="256"/>
      <c r="G118" s="256"/>
      <c r="H118" s="257"/>
      <c r="I118" s="30">
        <f>ROUND(((($I$111)/30)*0.69)/12,2)</f>
        <v>5.79</v>
      </c>
    </row>
    <row r="119" spans="1:11" ht="78" customHeight="1" x14ac:dyDescent="0.2">
      <c r="A119" s="96" t="s">
        <v>42</v>
      </c>
      <c r="B119" s="258" t="s">
        <v>146</v>
      </c>
      <c r="C119" s="259"/>
      <c r="D119" s="259"/>
      <c r="E119" s="259"/>
      <c r="F119" s="259"/>
      <c r="G119" s="259"/>
      <c r="H119" s="260"/>
      <c r="I119" s="42">
        <f>ROUND((((B111*0.121)+(H68)*(B111*0.121))*(4/12))*0.02,2)+ROUND(((H67*B111 + H68*I53+I87-I74-I79+I105)*4/12)*0.02,2)</f>
        <v>5.0199999999999996</v>
      </c>
    </row>
    <row r="120" spans="1:11" ht="39" customHeight="1" x14ac:dyDescent="0.2">
      <c r="A120" s="41" t="s">
        <v>43</v>
      </c>
      <c r="B120" s="261" t="s">
        <v>148</v>
      </c>
      <c r="C120" s="219"/>
      <c r="D120" s="219"/>
      <c r="E120" s="219"/>
      <c r="F120" s="219"/>
      <c r="G120" s="219"/>
      <c r="H120" s="262"/>
      <c r="I120" s="30">
        <f>ROUND(((3/30)/12)*(I111),2)</f>
        <v>25.17</v>
      </c>
    </row>
    <row r="121" spans="1:11" ht="15.75" customHeight="1" x14ac:dyDescent="0.2">
      <c r="A121" s="233" t="s">
        <v>50</v>
      </c>
      <c r="B121" s="233"/>
      <c r="C121" s="233"/>
      <c r="D121" s="233"/>
      <c r="E121" s="233"/>
      <c r="F121" s="233"/>
      <c r="G121" s="233"/>
      <c r="H121" s="233"/>
      <c r="I121" s="35">
        <f>SUM(I115:I120)</f>
        <v>250.39152000000001</v>
      </c>
    </row>
    <row r="122" spans="1:11" ht="9.4" customHeight="1" x14ac:dyDescent="0.2">
      <c r="A122" s="263"/>
      <c r="B122" s="263"/>
      <c r="C122" s="263"/>
      <c r="D122" s="263"/>
      <c r="E122" s="263"/>
      <c r="F122" s="263"/>
      <c r="G122" s="263"/>
      <c r="H122" s="263"/>
      <c r="I122" s="263"/>
    </row>
    <row r="123" spans="1:11" ht="15.75" customHeight="1" x14ac:dyDescent="0.2">
      <c r="A123" s="250" t="s">
        <v>88</v>
      </c>
      <c r="B123" s="250"/>
      <c r="C123" s="250"/>
      <c r="D123" s="250"/>
      <c r="E123" s="250"/>
      <c r="F123" s="250"/>
      <c r="G123" s="250"/>
      <c r="H123" s="250"/>
      <c r="I123" s="250"/>
    </row>
    <row r="124" spans="1:11" ht="15.75" customHeight="1" x14ac:dyDescent="0.2">
      <c r="A124" s="57" t="s">
        <v>89</v>
      </c>
      <c r="B124" s="246" t="s">
        <v>90</v>
      </c>
      <c r="C124" s="246"/>
      <c r="D124" s="246"/>
      <c r="E124" s="246"/>
      <c r="F124" s="246"/>
      <c r="G124" s="246"/>
      <c r="H124" s="246"/>
      <c r="I124" s="58" t="s">
        <v>49</v>
      </c>
    </row>
    <row r="125" spans="1:11" ht="15.75" customHeight="1" x14ac:dyDescent="0.2">
      <c r="A125" s="23" t="s">
        <v>13</v>
      </c>
      <c r="B125" s="247" t="s">
        <v>91</v>
      </c>
      <c r="C125" s="247"/>
      <c r="D125" s="247"/>
      <c r="E125" s="247"/>
      <c r="F125" s="247"/>
      <c r="G125" s="247"/>
      <c r="H125" s="247"/>
      <c r="I125" s="59">
        <v>0</v>
      </c>
    </row>
    <row r="126" spans="1:11" ht="15.75" customHeight="1" x14ac:dyDescent="0.2">
      <c r="A126" s="251" t="s">
        <v>50</v>
      </c>
      <c r="B126" s="251"/>
      <c r="C126" s="251"/>
      <c r="D126" s="251"/>
      <c r="E126" s="251"/>
      <c r="F126" s="251"/>
      <c r="G126" s="251"/>
      <c r="H126" s="251"/>
      <c r="I126" s="59">
        <v>0</v>
      </c>
    </row>
    <row r="127" spans="1:11" ht="7.5" customHeight="1" x14ac:dyDescent="0.2">
      <c r="A127" s="252"/>
      <c r="B127" s="252"/>
      <c r="C127" s="252"/>
      <c r="D127" s="252"/>
      <c r="E127" s="252"/>
      <c r="F127" s="252"/>
      <c r="G127" s="252"/>
      <c r="H127" s="252"/>
      <c r="I127" s="252"/>
    </row>
    <row r="128" spans="1:11" ht="23.65" customHeight="1" x14ac:dyDescent="0.2">
      <c r="A128" s="253" t="s">
        <v>92</v>
      </c>
      <c r="B128" s="253"/>
      <c r="C128" s="253"/>
      <c r="D128" s="253"/>
      <c r="E128" s="253"/>
      <c r="F128" s="253"/>
      <c r="G128" s="253"/>
      <c r="H128" s="253"/>
      <c r="I128" s="253"/>
    </row>
    <row r="129" spans="1:9" ht="23.65" customHeight="1" x14ac:dyDescent="0.2">
      <c r="A129" s="27">
        <v>4</v>
      </c>
      <c r="B129" s="246" t="s">
        <v>93</v>
      </c>
      <c r="C129" s="246"/>
      <c r="D129" s="246"/>
      <c r="E129" s="246"/>
      <c r="F129" s="246"/>
      <c r="G129" s="246"/>
      <c r="H129" s="246"/>
      <c r="I129" s="58" t="s">
        <v>49</v>
      </c>
    </row>
    <row r="130" spans="1:9" ht="19.149999999999999" customHeight="1" x14ac:dyDescent="0.2">
      <c r="A130" s="60" t="s">
        <v>86</v>
      </c>
      <c r="B130" s="247" t="s">
        <v>87</v>
      </c>
      <c r="C130" s="247"/>
      <c r="D130" s="247"/>
      <c r="E130" s="247"/>
      <c r="F130" s="247"/>
      <c r="G130" s="247"/>
      <c r="H130" s="247"/>
      <c r="I130" s="59">
        <f>I121</f>
        <v>250.39152000000001</v>
      </c>
    </row>
    <row r="131" spans="1:9" ht="21.75" customHeight="1" x14ac:dyDescent="0.2">
      <c r="A131" s="60" t="s">
        <v>94</v>
      </c>
      <c r="B131" s="247" t="s">
        <v>90</v>
      </c>
      <c r="C131" s="247"/>
      <c r="D131" s="247"/>
      <c r="E131" s="247"/>
      <c r="F131" s="247"/>
      <c r="G131" s="247"/>
      <c r="H131" s="247"/>
      <c r="I131" s="59">
        <f>I126</f>
        <v>0</v>
      </c>
    </row>
    <row r="132" spans="1:9" ht="23.65" customHeight="1" x14ac:dyDescent="0.2">
      <c r="A132" s="248" t="s">
        <v>50</v>
      </c>
      <c r="B132" s="248"/>
      <c r="C132" s="248"/>
      <c r="D132" s="248"/>
      <c r="E132" s="248"/>
      <c r="F132" s="248"/>
      <c r="G132" s="248"/>
      <c r="H132" s="248"/>
      <c r="I132" s="24">
        <f>SUM(I130+I131)</f>
        <v>250.39152000000001</v>
      </c>
    </row>
    <row r="133" spans="1:9" ht="7.5" customHeight="1" x14ac:dyDescent="0.2">
      <c r="A133" s="222"/>
      <c r="B133" s="222"/>
      <c r="C133" s="222"/>
      <c r="D133" s="222"/>
      <c r="E133" s="222"/>
      <c r="F133" s="222"/>
      <c r="G133" s="222"/>
      <c r="H133" s="222"/>
      <c r="I133" s="222"/>
    </row>
    <row r="134" spans="1:9" s="25" customFormat="1" ht="27.75" customHeight="1" x14ac:dyDescent="0.2">
      <c r="A134" s="249" t="s">
        <v>95</v>
      </c>
      <c r="B134" s="249"/>
      <c r="C134" s="249"/>
      <c r="D134" s="249"/>
      <c r="E134" s="249"/>
      <c r="F134" s="249"/>
      <c r="G134" s="249"/>
      <c r="H134" s="249"/>
      <c r="I134" s="249"/>
    </row>
    <row r="135" spans="1:9" ht="27" customHeight="1" x14ac:dyDescent="0.2">
      <c r="A135" s="40">
        <v>3</v>
      </c>
      <c r="B135" s="242" t="s">
        <v>96</v>
      </c>
      <c r="C135" s="242"/>
      <c r="D135" s="242"/>
      <c r="E135" s="242"/>
      <c r="F135" s="242"/>
      <c r="G135" s="242"/>
      <c r="H135" s="242"/>
      <c r="I135" s="40" t="s">
        <v>49</v>
      </c>
    </row>
    <row r="136" spans="1:9" ht="27.6" customHeight="1" x14ac:dyDescent="0.2">
      <c r="A136" s="41" t="s">
        <v>13</v>
      </c>
      <c r="B136" s="243" t="s">
        <v>208</v>
      </c>
      <c r="C136" s="243"/>
      <c r="D136" s="243"/>
      <c r="E136" s="243"/>
      <c r="F136" s="243"/>
      <c r="G136" s="243"/>
      <c r="H136" s="243"/>
      <c r="I136" s="134">
        <f>'INSUMOS DOS POSTOS'!J46</f>
        <v>0.57999999999999996</v>
      </c>
    </row>
    <row r="137" spans="1:9" ht="15.75" customHeight="1" x14ac:dyDescent="0.2">
      <c r="A137" s="41" t="s">
        <v>15</v>
      </c>
      <c r="B137" s="243" t="s">
        <v>209</v>
      </c>
      <c r="C137" s="243"/>
      <c r="D137" s="243"/>
      <c r="E137" s="243"/>
      <c r="F137" s="243"/>
      <c r="G137" s="243"/>
      <c r="H137" s="243"/>
      <c r="I137" s="135">
        <f>'INSUMOS DOS POSTOS'!J47</f>
        <v>19.68</v>
      </c>
    </row>
    <row r="138" spans="1:9" ht="15.75" customHeight="1" x14ac:dyDescent="0.2">
      <c r="A138" s="41" t="s">
        <v>17</v>
      </c>
      <c r="B138" s="243" t="s">
        <v>210</v>
      </c>
      <c r="C138" s="243"/>
      <c r="D138" s="243"/>
      <c r="E138" s="243"/>
      <c r="F138" s="243"/>
      <c r="G138" s="243"/>
      <c r="H138" s="243"/>
      <c r="I138" s="135">
        <f>'INSUMOS DOS POSTOS'!J48</f>
        <v>136.76</v>
      </c>
    </row>
    <row r="139" spans="1:9" ht="15.75" customHeight="1" x14ac:dyDescent="0.2">
      <c r="A139" s="41" t="s">
        <v>19</v>
      </c>
      <c r="B139" s="243" t="s">
        <v>211</v>
      </c>
      <c r="C139" s="243"/>
      <c r="D139" s="243"/>
      <c r="E139" s="243"/>
      <c r="F139" s="243"/>
      <c r="G139" s="243"/>
      <c r="H139" s="243"/>
      <c r="I139" s="135">
        <f>'INSUMOS DOS POSTOS'!J49</f>
        <v>8.25</v>
      </c>
    </row>
    <row r="140" spans="1:9" ht="17.850000000000001" customHeight="1" x14ac:dyDescent="0.2">
      <c r="A140" s="41" t="s">
        <v>42</v>
      </c>
      <c r="B140" s="244" t="s">
        <v>73</v>
      </c>
      <c r="C140" s="244"/>
      <c r="D140" s="244"/>
      <c r="E140" s="244"/>
      <c r="F140" s="244"/>
      <c r="G140" s="244"/>
      <c r="H140" s="244"/>
      <c r="I140" s="133"/>
    </row>
    <row r="141" spans="1:9" ht="15.75" customHeight="1" x14ac:dyDescent="0.2">
      <c r="A141" s="233" t="s">
        <v>97</v>
      </c>
      <c r="B141" s="233"/>
      <c r="C141" s="233"/>
      <c r="D141" s="233"/>
      <c r="E141" s="233"/>
      <c r="F141" s="233"/>
      <c r="G141" s="233"/>
      <c r="H141" s="233"/>
      <c r="I141" s="61">
        <f>ROUND(SUM(I136:I140),2)</f>
        <v>165.27</v>
      </c>
    </row>
    <row r="142" spans="1:9" ht="7.5" customHeight="1" x14ac:dyDescent="0.2">
      <c r="A142" s="245"/>
      <c r="B142" s="245"/>
      <c r="C142" s="245"/>
      <c r="D142" s="245"/>
      <c r="E142" s="245"/>
      <c r="F142" s="245"/>
      <c r="G142" s="245"/>
      <c r="H142" s="245"/>
      <c r="I142" s="245"/>
    </row>
    <row r="143" spans="1:9" ht="15.75" customHeight="1" x14ac:dyDescent="0.2">
      <c r="A143" s="239" t="s">
        <v>98</v>
      </c>
      <c r="B143" s="239"/>
      <c r="C143" s="239"/>
      <c r="D143" s="239"/>
      <c r="E143" s="239"/>
      <c r="F143" s="239"/>
      <c r="G143" s="239"/>
      <c r="H143" s="239"/>
      <c r="I143" s="239"/>
    </row>
    <row r="144" spans="1:9" ht="7.15" customHeight="1" x14ac:dyDescent="0.2">
      <c r="A144" s="62"/>
      <c r="B144" s="63"/>
      <c r="C144" s="63"/>
      <c r="D144" s="63"/>
      <c r="E144" s="63"/>
      <c r="F144" s="63"/>
      <c r="G144" s="63"/>
      <c r="H144" s="63"/>
      <c r="I144" s="64"/>
    </row>
    <row r="145" spans="1:9" ht="15.75" x14ac:dyDescent="0.2">
      <c r="A145" s="240" t="s">
        <v>99</v>
      </c>
      <c r="B145" s="240"/>
      <c r="C145" s="240"/>
      <c r="D145" s="240"/>
      <c r="E145" s="240"/>
      <c r="F145" s="240"/>
      <c r="G145" s="240"/>
      <c r="H145" s="240"/>
      <c r="I145" s="240"/>
    </row>
    <row r="146" spans="1:9" ht="30" x14ac:dyDescent="0.2">
      <c r="A146" s="40">
        <v>6</v>
      </c>
      <c r="B146" s="241" t="s">
        <v>100</v>
      </c>
      <c r="C146" s="241"/>
      <c r="D146" s="241"/>
      <c r="E146" s="241"/>
      <c r="F146" s="241"/>
      <c r="G146" s="241"/>
      <c r="H146" s="5" t="s">
        <v>40</v>
      </c>
      <c r="I146" s="65" t="s">
        <v>53</v>
      </c>
    </row>
    <row r="147" spans="1:9" ht="50.65" customHeight="1" x14ac:dyDescent="0.2">
      <c r="A147" s="235" t="s">
        <v>101</v>
      </c>
      <c r="B147" s="235"/>
      <c r="C147" s="235"/>
      <c r="D147" s="235"/>
      <c r="E147" s="235"/>
      <c r="F147" s="235"/>
      <c r="G147" s="235"/>
      <c r="H147" s="66" t="s">
        <v>24</v>
      </c>
      <c r="I147" s="67">
        <f>SUM(I46+I96+I105+I132+I141)</f>
        <v>3950.80152</v>
      </c>
    </row>
    <row r="148" spans="1:9" ht="15.75" customHeight="1" x14ac:dyDescent="0.2">
      <c r="A148" s="41" t="s">
        <v>13</v>
      </c>
      <c r="B148" s="234" t="s">
        <v>102</v>
      </c>
      <c r="C148" s="234"/>
      <c r="D148" s="234"/>
      <c r="E148" s="234"/>
      <c r="F148" s="234"/>
      <c r="G148" s="234"/>
      <c r="H148" s="172">
        <v>0.06</v>
      </c>
      <c r="I148" s="30">
        <f>ROUND(H148*I147,2)</f>
        <v>237.05</v>
      </c>
    </row>
    <row r="149" spans="1:9" ht="50.65" customHeight="1" x14ac:dyDescent="0.2">
      <c r="A149" s="235" t="s">
        <v>103</v>
      </c>
      <c r="B149" s="235"/>
      <c r="C149" s="235"/>
      <c r="D149" s="235"/>
      <c r="E149" s="235"/>
      <c r="F149" s="235"/>
      <c r="G149" s="235"/>
      <c r="H149" s="68" t="s">
        <v>24</v>
      </c>
      <c r="I149" s="67">
        <f>SUM(I46+I96+I105+I132+I141+I148)</f>
        <v>4187.8515200000002</v>
      </c>
    </row>
    <row r="150" spans="1:9" ht="15.75" customHeight="1" x14ac:dyDescent="0.2">
      <c r="A150" s="41" t="s">
        <v>15</v>
      </c>
      <c r="B150" s="234" t="s">
        <v>104</v>
      </c>
      <c r="C150" s="234"/>
      <c r="D150" s="234"/>
      <c r="E150" s="234"/>
      <c r="F150" s="234"/>
      <c r="G150" s="234"/>
      <c r="H150" s="172">
        <v>6.7900000000000002E-2</v>
      </c>
      <c r="I150" s="30">
        <f>ROUND(H150*I149,2)</f>
        <v>284.36</v>
      </c>
    </row>
    <row r="151" spans="1:9" ht="48.75" customHeight="1" x14ac:dyDescent="0.2">
      <c r="A151" s="235" t="s">
        <v>105</v>
      </c>
      <c r="B151" s="235"/>
      <c r="C151" s="235"/>
      <c r="D151" s="235"/>
      <c r="E151" s="235"/>
      <c r="F151" s="235"/>
      <c r="G151" s="235"/>
      <c r="H151" s="68" t="s">
        <v>24</v>
      </c>
      <c r="I151" s="67">
        <f>SUM(I147+I148+I150)</f>
        <v>4472.2115199999998</v>
      </c>
    </row>
    <row r="152" spans="1:9" ht="17.100000000000001" customHeight="1" x14ac:dyDescent="0.2">
      <c r="A152" s="69" t="s">
        <v>17</v>
      </c>
      <c r="B152" s="236" t="s">
        <v>106</v>
      </c>
      <c r="C152" s="236"/>
      <c r="D152" s="236"/>
      <c r="E152" s="236"/>
      <c r="F152" s="236"/>
      <c r="G152" s="236"/>
      <c r="H152" s="70" t="s">
        <v>24</v>
      </c>
      <c r="I152" s="17" t="s">
        <v>24</v>
      </c>
    </row>
    <row r="153" spans="1:9" ht="12.75" x14ac:dyDescent="0.2">
      <c r="A153" s="41"/>
      <c r="B153" s="237" t="s">
        <v>107</v>
      </c>
      <c r="C153" s="237"/>
      <c r="D153" s="237"/>
      <c r="E153" s="237"/>
      <c r="F153" s="237"/>
      <c r="G153" s="237"/>
      <c r="H153" s="70" t="s">
        <v>24</v>
      </c>
      <c r="I153" s="17" t="s">
        <v>24</v>
      </c>
    </row>
    <row r="154" spans="1:9" ht="22.5" customHeight="1" x14ac:dyDescent="0.2">
      <c r="A154" s="41"/>
      <c r="B154" s="238" t="s">
        <v>108</v>
      </c>
      <c r="C154" s="238"/>
      <c r="D154" s="238"/>
      <c r="E154" s="238"/>
      <c r="F154" s="238"/>
      <c r="G154" s="238"/>
      <c r="H154" s="173">
        <v>0.03</v>
      </c>
      <c r="I154" s="71">
        <f>ROUND(($I$151/(1-$H$163))*H154,2)</f>
        <v>142.19999999999999</v>
      </c>
    </row>
    <row r="155" spans="1:9" ht="22.5" customHeight="1" x14ac:dyDescent="0.2">
      <c r="A155" s="41"/>
      <c r="B155" s="238" t="s">
        <v>109</v>
      </c>
      <c r="C155" s="238"/>
      <c r="D155" s="238"/>
      <c r="E155" s="238"/>
      <c r="F155" s="238"/>
      <c r="G155" s="238"/>
      <c r="H155" s="173">
        <v>6.4999999999999997E-3</v>
      </c>
      <c r="I155" s="71">
        <f>ROUND(($I$151/(1-$H$163))*H155,2)</f>
        <v>30.81</v>
      </c>
    </row>
    <row r="156" spans="1:9" ht="29.25" customHeight="1" x14ac:dyDescent="0.2">
      <c r="A156" s="41"/>
      <c r="B156" s="230" t="s">
        <v>0</v>
      </c>
      <c r="C156" s="230"/>
      <c r="D156" s="230"/>
      <c r="E156" s="230"/>
      <c r="F156" s="230"/>
      <c r="G156" s="230"/>
      <c r="H156" s="72" t="s">
        <v>24</v>
      </c>
      <c r="I156" s="17" t="s">
        <v>24</v>
      </c>
    </row>
    <row r="157" spans="1:9" ht="29.25" customHeight="1" x14ac:dyDescent="0.2">
      <c r="A157" s="41"/>
      <c r="B157" s="230" t="s">
        <v>1</v>
      </c>
      <c r="C157" s="230"/>
      <c r="D157" s="230"/>
      <c r="E157" s="230"/>
      <c r="F157" s="230"/>
      <c r="G157" s="230"/>
      <c r="H157" s="72" t="s">
        <v>24</v>
      </c>
      <c r="I157" s="17" t="s">
        <v>24</v>
      </c>
    </row>
    <row r="158" spans="1:9" ht="18" customHeight="1" x14ac:dyDescent="0.2">
      <c r="A158" s="41"/>
      <c r="B158" s="231" t="s">
        <v>110</v>
      </c>
      <c r="C158" s="231"/>
      <c r="D158" s="231"/>
      <c r="E158" s="231"/>
      <c r="F158" s="231"/>
      <c r="G158" s="231"/>
      <c r="H158" s="73" t="s">
        <v>24</v>
      </c>
      <c r="I158" s="74" t="s">
        <v>24</v>
      </c>
    </row>
    <row r="159" spans="1:9" ht="18" customHeight="1" x14ac:dyDescent="0.2">
      <c r="A159" s="41"/>
      <c r="B159" s="231" t="s">
        <v>111</v>
      </c>
      <c r="C159" s="231"/>
      <c r="D159" s="231"/>
      <c r="E159" s="231"/>
      <c r="F159" s="231"/>
      <c r="G159" s="231"/>
      <c r="H159" s="73" t="s">
        <v>24</v>
      </c>
      <c r="I159" s="74" t="s">
        <v>24</v>
      </c>
    </row>
    <row r="160" spans="1:9" ht="15" customHeight="1" x14ac:dyDescent="0.2">
      <c r="A160" s="41"/>
      <c r="B160" s="232" t="s">
        <v>182</v>
      </c>
      <c r="C160" s="232"/>
      <c r="D160" s="232"/>
      <c r="E160" s="232"/>
      <c r="F160" s="232"/>
      <c r="G160" s="232"/>
      <c r="H160" s="173">
        <v>0.02</v>
      </c>
      <c r="I160" s="71">
        <f>ROUND(($I$151/(1-$H$163))*H160,2)</f>
        <v>94.8</v>
      </c>
    </row>
    <row r="161" spans="1:11" ht="15.75" customHeight="1" x14ac:dyDescent="0.2">
      <c r="A161" s="233" t="s">
        <v>81</v>
      </c>
      <c r="B161" s="233"/>
      <c r="C161" s="233"/>
      <c r="D161" s="233"/>
      <c r="E161" s="233"/>
      <c r="F161" s="233"/>
      <c r="G161" s="233"/>
      <c r="H161" s="233"/>
      <c r="I161" s="35">
        <f>SUM(I148+I150+I154+I155+I160)</f>
        <v>789.22</v>
      </c>
    </row>
    <row r="162" spans="1:11" ht="6.75" customHeight="1" x14ac:dyDescent="0.2">
      <c r="A162" s="222"/>
      <c r="B162" s="222"/>
      <c r="C162" s="222"/>
      <c r="D162" s="222"/>
      <c r="E162" s="222"/>
      <c r="F162" s="222"/>
      <c r="G162" s="222"/>
      <c r="H162" s="222"/>
      <c r="I162" s="222"/>
    </row>
    <row r="163" spans="1:11" ht="15.75" customHeight="1" x14ac:dyDescent="0.2">
      <c r="A163" s="225" t="s">
        <v>112</v>
      </c>
      <c r="B163" s="225"/>
      <c r="C163" s="225"/>
      <c r="D163" s="225"/>
      <c r="E163" s="225"/>
      <c r="F163" s="225"/>
      <c r="G163" s="225"/>
      <c r="H163" s="75">
        <f>SUM(H154:H160)</f>
        <v>5.6499999999999995E-2</v>
      </c>
      <c r="I163" s="76">
        <f>SUM(I154:I160)</f>
        <v>267.81</v>
      </c>
    </row>
    <row r="164" spans="1:11" ht="12.75" customHeight="1" x14ac:dyDescent="0.2">
      <c r="A164" s="226" t="s">
        <v>113</v>
      </c>
      <c r="B164" s="226"/>
      <c r="C164" s="227" t="s">
        <v>114</v>
      </c>
      <c r="D164" s="227"/>
      <c r="E164" s="227"/>
      <c r="F164" s="227"/>
      <c r="G164" s="227"/>
      <c r="H164" s="227"/>
      <c r="I164" s="227"/>
    </row>
    <row r="165" spans="1:11" ht="12" customHeight="1" x14ac:dyDescent="0.2">
      <c r="A165" s="226"/>
      <c r="B165" s="226"/>
      <c r="C165" s="228" t="s">
        <v>115</v>
      </c>
      <c r="D165" s="228"/>
      <c r="E165" s="228"/>
      <c r="F165" s="228"/>
      <c r="G165" s="228"/>
      <c r="H165" s="228"/>
      <c r="I165" s="228"/>
    </row>
    <row r="166" spans="1:11" ht="13.5" customHeight="1" x14ac:dyDescent="0.2">
      <c r="A166" s="226"/>
      <c r="B166" s="226"/>
      <c r="C166" s="229" t="s">
        <v>116</v>
      </c>
      <c r="D166" s="229"/>
      <c r="E166" s="229"/>
      <c r="F166" s="229"/>
      <c r="G166" s="229"/>
      <c r="H166" s="229"/>
      <c r="I166" s="229"/>
    </row>
    <row r="167" spans="1:11" ht="6.75" customHeight="1" x14ac:dyDescent="0.2">
      <c r="A167" s="220"/>
      <c r="B167" s="220"/>
      <c r="C167" s="220"/>
      <c r="D167" s="220"/>
      <c r="E167" s="220"/>
      <c r="F167" s="220"/>
      <c r="G167" s="220"/>
      <c r="H167" s="220"/>
      <c r="I167" s="220"/>
    </row>
    <row r="168" spans="1:11" ht="24.6" customHeight="1" x14ac:dyDescent="0.2">
      <c r="A168" s="221" t="s">
        <v>117</v>
      </c>
      <c r="B168" s="221"/>
      <c r="C168" s="221"/>
      <c r="D168" s="221"/>
      <c r="E168" s="221"/>
      <c r="F168" s="221"/>
      <c r="G168" s="221"/>
      <c r="H168" s="221"/>
      <c r="I168" s="221"/>
    </row>
    <row r="169" spans="1:11" ht="5.25" customHeight="1" x14ac:dyDescent="0.2">
      <c r="A169" s="222"/>
      <c r="B169" s="222"/>
      <c r="C169" s="222"/>
      <c r="D169" s="222"/>
      <c r="E169" s="222"/>
      <c r="F169" s="222"/>
      <c r="G169" s="222"/>
      <c r="H169" s="222"/>
      <c r="I169" s="222"/>
    </row>
    <row r="170" spans="1:11" ht="28.15" customHeight="1" x14ac:dyDescent="0.2">
      <c r="A170" s="223" t="s">
        <v>140</v>
      </c>
      <c r="B170" s="223"/>
      <c r="C170" s="223"/>
      <c r="D170" s="223"/>
      <c r="E170" s="223"/>
      <c r="F170" s="223"/>
      <c r="G170" s="223"/>
      <c r="H170" s="223"/>
      <c r="I170" s="223"/>
    </row>
    <row r="171" spans="1:11" ht="15" customHeight="1" x14ac:dyDescent="0.2">
      <c r="A171" s="224" t="s">
        <v>118</v>
      </c>
      <c r="B171" s="224"/>
      <c r="C171" s="224"/>
      <c r="D171" s="224"/>
      <c r="E171" s="224"/>
      <c r="F171" s="224"/>
      <c r="G171" s="224"/>
      <c r="H171" s="224"/>
      <c r="I171" s="5" t="s">
        <v>49</v>
      </c>
    </row>
    <row r="172" spans="1:11" ht="15" customHeight="1" x14ac:dyDescent="0.2">
      <c r="A172" s="78" t="s">
        <v>13</v>
      </c>
      <c r="B172" s="219" t="s">
        <v>119</v>
      </c>
      <c r="C172" s="219"/>
      <c r="D172" s="219"/>
      <c r="E172" s="219"/>
      <c r="F172" s="219"/>
      <c r="G172" s="219"/>
      <c r="H172" s="219"/>
      <c r="I172" s="48">
        <f>I46</f>
        <v>1654.4</v>
      </c>
      <c r="K172" s="77"/>
    </row>
    <row r="173" spans="1:11" ht="15" customHeight="1" x14ac:dyDescent="0.2">
      <c r="A173" s="78" t="s">
        <v>15</v>
      </c>
      <c r="B173" s="219" t="s">
        <v>120</v>
      </c>
      <c r="C173" s="219"/>
      <c r="D173" s="219"/>
      <c r="E173" s="219"/>
      <c r="F173" s="219"/>
      <c r="G173" s="219"/>
      <c r="H173" s="219"/>
      <c r="I173" s="48">
        <f>I96</f>
        <v>1761.5899999999997</v>
      </c>
    </row>
    <row r="174" spans="1:11" ht="15" customHeight="1" x14ac:dyDescent="0.2">
      <c r="A174" s="78" t="s">
        <v>17</v>
      </c>
      <c r="B174" s="219" t="s">
        <v>121</v>
      </c>
      <c r="C174" s="219"/>
      <c r="D174" s="219"/>
      <c r="E174" s="219"/>
      <c r="F174" s="219"/>
      <c r="G174" s="219"/>
      <c r="H174" s="219"/>
      <c r="I174" s="48">
        <f>I105</f>
        <v>119.15</v>
      </c>
    </row>
    <row r="175" spans="1:11" ht="15" customHeight="1" x14ac:dyDescent="0.2">
      <c r="A175" s="78" t="s">
        <v>19</v>
      </c>
      <c r="B175" s="219" t="s">
        <v>122</v>
      </c>
      <c r="C175" s="219"/>
      <c r="D175" s="219"/>
      <c r="E175" s="219"/>
      <c r="F175" s="219"/>
      <c r="G175" s="219"/>
      <c r="H175" s="219"/>
      <c r="I175" s="48">
        <f>I132</f>
        <v>250.39152000000001</v>
      </c>
    </row>
    <row r="176" spans="1:11" ht="15" customHeight="1" x14ac:dyDescent="0.2">
      <c r="A176" s="78" t="s">
        <v>42</v>
      </c>
      <c r="B176" s="219" t="s">
        <v>142</v>
      </c>
      <c r="C176" s="219"/>
      <c r="D176" s="219"/>
      <c r="E176" s="219"/>
      <c r="F176" s="219"/>
      <c r="G176" s="219"/>
      <c r="H176" s="219"/>
      <c r="I176" s="48">
        <f>I141</f>
        <v>165.27</v>
      </c>
    </row>
    <row r="177" spans="1:256" ht="15" customHeight="1" x14ac:dyDescent="0.2">
      <c r="A177" s="213" t="s">
        <v>123</v>
      </c>
      <c r="B177" s="213"/>
      <c r="C177" s="213"/>
      <c r="D177" s="213"/>
      <c r="E177" s="213"/>
      <c r="F177" s="213"/>
      <c r="G177" s="213"/>
      <c r="H177" s="213"/>
      <c r="I177" s="48">
        <f>ROUND(SUM(I172:I176),2)</f>
        <v>3950.8</v>
      </c>
    </row>
    <row r="178" spans="1:256" ht="15" customHeight="1" x14ac:dyDescent="0.2">
      <c r="A178" s="79" t="s">
        <v>43</v>
      </c>
      <c r="B178" s="219" t="s">
        <v>99</v>
      </c>
      <c r="C178" s="219"/>
      <c r="D178" s="219"/>
      <c r="E178" s="219"/>
      <c r="F178" s="219"/>
      <c r="G178" s="219"/>
      <c r="H178" s="219"/>
      <c r="I178" s="61">
        <f>I161</f>
        <v>789.22</v>
      </c>
    </row>
    <row r="179" spans="1:256" ht="15" customHeight="1" x14ac:dyDescent="0.2">
      <c r="A179" s="213" t="s">
        <v>124</v>
      </c>
      <c r="B179" s="213"/>
      <c r="C179" s="213"/>
      <c r="D179" s="213"/>
      <c r="E179" s="213"/>
      <c r="F179" s="213"/>
      <c r="G179" s="213"/>
      <c r="H179" s="213"/>
      <c r="I179" s="102">
        <f>I177+I178</f>
        <v>4740.0200000000004</v>
      </c>
    </row>
    <row r="180" spans="1:256" ht="17.25" customHeight="1" x14ac:dyDescent="0.2">
      <c r="A180" s="214" t="s">
        <v>132</v>
      </c>
      <c r="B180" s="214"/>
      <c r="C180" s="214"/>
      <c r="D180" s="214"/>
      <c r="E180" s="214"/>
      <c r="F180" s="214"/>
      <c r="G180" s="214"/>
      <c r="H180" s="214"/>
      <c r="I180" s="214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</row>
    <row r="181" spans="1:256" ht="6.75" customHeight="1" x14ac:dyDescent="0.2">
      <c r="A181" s="215"/>
      <c r="B181" s="215"/>
      <c r="C181" s="215"/>
      <c r="D181" s="215"/>
      <c r="E181" s="215"/>
      <c r="F181" s="215"/>
      <c r="G181" s="215"/>
      <c r="H181" s="215"/>
      <c r="I181" s="215"/>
    </row>
    <row r="182" spans="1:256" ht="18.75" customHeight="1" x14ac:dyDescent="0.2">
      <c r="A182" s="216" t="s">
        <v>133</v>
      </c>
      <c r="B182" s="216"/>
      <c r="C182" s="216"/>
      <c r="D182" s="216"/>
      <c r="E182" s="216"/>
      <c r="F182" s="216"/>
      <c r="G182" s="217">
        <f>I179*H16</f>
        <v>9480.0400000000009</v>
      </c>
      <c r="H182" s="217"/>
      <c r="I182" s="217"/>
    </row>
    <row r="183" spans="1:256" ht="8.25" customHeight="1" x14ac:dyDescent="0.25">
      <c r="A183" s="218"/>
      <c r="B183" s="218"/>
      <c r="C183" s="218"/>
      <c r="D183" s="218"/>
      <c r="E183" s="218"/>
      <c r="F183" s="218"/>
      <c r="G183" s="218"/>
      <c r="H183" s="218"/>
      <c r="I183" s="218"/>
    </row>
    <row r="184" spans="1:256" ht="19.5" customHeight="1" x14ac:dyDescent="0.2">
      <c r="A184" s="207" t="s">
        <v>134</v>
      </c>
      <c r="B184" s="207"/>
      <c r="C184" s="207"/>
      <c r="D184" s="207"/>
      <c r="E184" s="207"/>
      <c r="F184" s="207"/>
      <c r="G184" s="208">
        <f>$H$11</f>
        <v>60</v>
      </c>
      <c r="H184" s="208"/>
      <c r="I184" s="208"/>
    </row>
    <row r="185" spans="1:256" ht="8.25" customHeight="1" x14ac:dyDescent="0.2">
      <c r="A185" s="209"/>
      <c r="B185" s="209"/>
      <c r="C185" s="209"/>
      <c r="D185" s="209"/>
      <c r="E185" s="209"/>
      <c r="F185" s="209"/>
      <c r="G185" s="209"/>
      <c r="H185" s="209"/>
      <c r="I185" s="209"/>
    </row>
    <row r="186" spans="1:256" ht="31.5" customHeight="1" x14ac:dyDescent="0.2">
      <c r="A186" s="210" t="s">
        <v>135</v>
      </c>
      <c r="B186" s="210"/>
      <c r="C186" s="210"/>
      <c r="D186" s="210"/>
      <c r="E186" s="210"/>
      <c r="F186" s="210"/>
      <c r="G186" s="211">
        <f>ROUND(G182*G184,2)</f>
        <v>568802.4</v>
      </c>
      <c r="H186" s="211"/>
      <c r="I186" s="211"/>
    </row>
    <row r="187" spans="1:256" ht="8.25" customHeight="1" x14ac:dyDescent="0.2">
      <c r="A187" s="212"/>
      <c r="B187" s="212"/>
      <c r="C187" s="212"/>
      <c r="D187" s="212"/>
      <c r="E187" s="212"/>
      <c r="F187" s="212"/>
      <c r="G187" s="212"/>
      <c r="H187" s="212"/>
      <c r="I187" s="212"/>
    </row>
    <row r="188" spans="1:256" ht="29.25" customHeight="1" x14ac:dyDescent="0.2">
      <c r="A188" s="204" t="s">
        <v>186</v>
      </c>
      <c r="B188" s="204"/>
      <c r="C188" s="204"/>
      <c r="D188" s="204"/>
      <c r="E188" s="204"/>
      <c r="F188" s="204"/>
      <c r="G188" s="204"/>
      <c r="H188" s="204"/>
      <c r="I188" s="204"/>
    </row>
    <row r="189" spans="1:256" ht="12" customHeight="1" x14ac:dyDescent="0.2">
      <c r="A189" s="205" t="s">
        <v>136</v>
      </c>
      <c r="B189" s="205"/>
      <c r="C189" s="205"/>
      <c r="D189" s="201" t="s">
        <v>137</v>
      </c>
      <c r="E189" s="201"/>
      <c r="F189" s="201"/>
      <c r="G189" s="201"/>
      <c r="H189" s="201"/>
      <c r="I189" s="201"/>
    </row>
    <row r="190" spans="1:256" x14ac:dyDescent="0.2">
      <c r="A190" s="205"/>
      <c r="B190" s="205"/>
      <c r="C190" s="205"/>
      <c r="D190" s="201"/>
      <c r="E190" s="201"/>
      <c r="F190" s="201"/>
      <c r="G190" s="201"/>
      <c r="H190" s="201"/>
      <c r="I190" s="201"/>
    </row>
    <row r="191" spans="1:256" ht="14.65" customHeight="1" x14ac:dyDescent="0.2">
      <c r="A191" s="203" t="s">
        <v>184</v>
      </c>
      <c r="B191" s="203"/>
      <c r="C191" s="203"/>
      <c r="D191" s="206"/>
      <c r="E191" s="206"/>
      <c r="F191" s="206"/>
      <c r="G191" s="206"/>
      <c r="H191" s="206"/>
      <c r="I191" s="206"/>
    </row>
    <row r="192" spans="1:256" ht="12.75" customHeight="1" x14ac:dyDescent="0.2">
      <c r="A192" s="199"/>
      <c r="B192" s="199"/>
      <c r="C192" s="199"/>
      <c r="D192" s="206"/>
      <c r="E192" s="206"/>
      <c r="F192" s="206"/>
      <c r="G192" s="206"/>
      <c r="H192" s="206"/>
      <c r="I192" s="206"/>
    </row>
    <row r="193" spans="1:9" ht="15" customHeight="1" x14ac:dyDescent="0.2">
      <c r="A193" s="197"/>
      <c r="B193" s="197"/>
      <c r="C193" s="197"/>
      <c r="D193" s="197"/>
      <c r="E193" s="197"/>
      <c r="F193" s="197"/>
      <c r="G193" s="197"/>
      <c r="H193" s="197"/>
      <c r="I193" s="197"/>
    </row>
    <row r="194" spans="1:9" hidden="1" x14ac:dyDescent="0.2">
      <c r="A194" s="197"/>
      <c r="B194" s="197"/>
      <c r="C194" s="197"/>
      <c r="D194" s="197"/>
      <c r="E194" s="197"/>
      <c r="F194" s="197"/>
      <c r="G194" s="197"/>
      <c r="H194" s="197"/>
      <c r="I194" s="197"/>
    </row>
    <row r="195" spans="1:9" ht="27" customHeight="1" x14ac:dyDescent="0.2">
      <c r="A195" s="198" t="s">
        <v>185</v>
      </c>
      <c r="B195" s="198"/>
      <c r="C195" s="198"/>
      <c r="D195" s="198"/>
      <c r="E195" s="198"/>
      <c r="F195" s="198"/>
      <c r="G195" s="198"/>
      <c r="H195" s="198"/>
      <c r="I195" s="198"/>
    </row>
    <row r="196" spans="1:9" ht="12.75" customHeight="1" x14ac:dyDescent="0.2">
      <c r="A196" s="201" t="s">
        <v>138</v>
      </c>
      <c r="B196" s="201"/>
      <c r="C196" s="201"/>
      <c r="D196" s="201"/>
      <c r="E196" s="201"/>
      <c r="F196" s="201"/>
      <c r="G196" s="201"/>
      <c r="H196" s="201" t="s">
        <v>139</v>
      </c>
      <c r="I196" s="201"/>
    </row>
    <row r="197" spans="1:9" ht="15" customHeight="1" x14ac:dyDescent="0.25">
      <c r="A197" s="202"/>
      <c r="B197" s="202"/>
      <c r="C197" s="202"/>
      <c r="D197" s="202"/>
      <c r="E197" s="202"/>
      <c r="F197" s="202"/>
      <c r="G197" s="202"/>
      <c r="H197" s="200"/>
      <c r="I197" s="200"/>
    </row>
    <row r="198" spans="1:9" ht="12.75" customHeight="1" x14ac:dyDescent="0.2">
      <c r="A198" s="203"/>
      <c r="B198" s="203"/>
      <c r="C198" s="203"/>
      <c r="D198" s="203"/>
      <c r="E198" s="203"/>
      <c r="F198" s="203"/>
      <c r="G198" s="203"/>
      <c r="H198" s="200"/>
      <c r="I198" s="200"/>
    </row>
    <row r="199" spans="1:9" ht="12.75" customHeight="1" x14ac:dyDescent="0.2">
      <c r="A199" s="199"/>
      <c r="B199" s="199"/>
      <c r="C199" s="199"/>
      <c r="D199" s="199"/>
      <c r="E199" s="199"/>
      <c r="F199" s="199"/>
      <c r="G199" s="199"/>
      <c r="H199" s="200"/>
      <c r="I199" s="200"/>
    </row>
    <row r="209" ht="12.75" customHeight="1" x14ac:dyDescent="0.2"/>
  </sheetData>
  <mergeCells count="258">
    <mergeCell ref="A2:I2"/>
    <mergeCell ref="A3:I3"/>
    <mergeCell ref="A4:E4"/>
    <mergeCell ref="F4:I4"/>
    <mergeCell ref="A5:E5"/>
    <mergeCell ref="F5:I5"/>
    <mergeCell ref="A15:E15"/>
    <mergeCell ref="F15:G15"/>
    <mergeCell ref="H15:I15"/>
    <mergeCell ref="A6:E6"/>
    <mergeCell ref="F6:I6"/>
    <mergeCell ref="A14:E14"/>
    <mergeCell ref="F14:G14"/>
    <mergeCell ref="H14:I14"/>
    <mergeCell ref="B10:G10"/>
    <mergeCell ref="H10:I10"/>
    <mergeCell ref="H13:I13"/>
    <mergeCell ref="A7:I7"/>
    <mergeCell ref="B8:G8"/>
    <mergeCell ref="H8:I8"/>
    <mergeCell ref="B9:G9"/>
    <mergeCell ref="H9:I9"/>
    <mergeCell ref="A13:E13"/>
    <mergeCell ref="F13:G13"/>
    <mergeCell ref="B11:G11"/>
    <mergeCell ref="H11:I11"/>
    <mergeCell ref="A12:I12"/>
    <mergeCell ref="A21:I21"/>
    <mergeCell ref="A22:I22"/>
    <mergeCell ref="J22:P22"/>
    <mergeCell ref="Q22:X22"/>
    <mergeCell ref="Y22:AF22"/>
    <mergeCell ref="AG22:AN22"/>
    <mergeCell ref="A16:G16"/>
    <mergeCell ref="H16:I16"/>
    <mergeCell ref="A17:I17"/>
    <mergeCell ref="A18:I18"/>
    <mergeCell ref="A19:I19"/>
    <mergeCell ref="A20:I20"/>
    <mergeCell ref="FU22:GB22"/>
    <mergeCell ref="CK22:CR22"/>
    <mergeCell ref="CS22:CZ22"/>
    <mergeCell ref="DA22:DH22"/>
    <mergeCell ref="DI22:DP22"/>
    <mergeCell ref="DQ22:DX22"/>
    <mergeCell ref="DY22:EF22"/>
    <mergeCell ref="AO22:AV22"/>
    <mergeCell ref="AW22:BD22"/>
    <mergeCell ref="BE22:BL22"/>
    <mergeCell ref="BM22:BT22"/>
    <mergeCell ref="BU22:CB22"/>
    <mergeCell ref="CC22:CJ22"/>
    <mergeCell ref="B25:G25"/>
    <mergeCell ref="H25:I25"/>
    <mergeCell ref="B26:G26"/>
    <mergeCell ref="H26:I26"/>
    <mergeCell ref="B27:G27"/>
    <mergeCell ref="H27:I27"/>
    <mergeCell ref="HY22:IF22"/>
    <mergeCell ref="IG22:IN22"/>
    <mergeCell ref="IO22:IV22"/>
    <mergeCell ref="B23:G23"/>
    <mergeCell ref="H23:I23"/>
    <mergeCell ref="B24:G24"/>
    <mergeCell ref="H24:I24"/>
    <mergeCell ref="GC22:GJ22"/>
    <mergeCell ref="GK22:GR22"/>
    <mergeCell ref="GS22:GZ22"/>
    <mergeCell ref="HA22:HH22"/>
    <mergeCell ref="HI22:HP22"/>
    <mergeCell ref="HQ22:HX22"/>
    <mergeCell ref="EG22:EN22"/>
    <mergeCell ref="EO22:EV22"/>
    <mergeCell ref="EW22:FD22"/>
    <mergeCell ref="FE22:FL22"/>
    <mergeCell ref="FM22:FT22"/>
    <mergeCell ref="B31:G31"/>
    <mergeCell ref="H31:I31"/>
    <mergeCell ref="A32:I32"/>
    <mergeCell ref="A33:I33"/>
    <mergeCell ref="B40:H40"/>
    <mergeCell ref="A41:H41"/>
    <mergeCell ref="B28:G28"/>
    <mergeCell ref="H28:I28"/>
    <mergeCell ref="B29:G29"/>
    <mergeCell ref="H29:I29"/>
    <mergeCell ref="B30:G30"/>
    <mergeCell ref="H30:I30"/>
    <mergeCell ref="B43:H43"/>
    <mergeCell ref="A44:H44"/>
    <mergeCell ref="A45:I45"/>
    <mergeCell ref="A46:H46"/>
    <mergeCell ref="A47:I47"/>
    <mergeCell ref="A48:I48"/>
    <mergeCell ref="A42:I42"/>
    <mergeCell ref="A34:I34"/>
    <mergeCell ref="A35:I35"/>
    <mergeCell ref="B36:G36"/>
    <mergeCell ref="B37:H37"/>
    <mergeCell ref="B38:H38"/>
    <mergeCell ref="B39:H39"/>
    <mergeCell ref="A55:H55"/>
    <mergeCell ref="A56:I56"/>
    <mergeCell ref="A57:I57"/>
    <mergeCell ref="A58:I58"/>
    <mergeCell ref="B59:G59"/>
    <mergeCell ref="B60:G60"/>
    <mergeCell ref="A49:I49"/>
    <mergeCell ref="A50:I50"/>
    <mergeCell ref="A51:I51"/>
    <mergeCell ref="B52:H52"/>
    <mergeCell ref="B53:G53"/>
    <mergeCell ref="B54:G54"/>
    <mergeCell ref="B67:G67"/>
    <mergeCell ref="A68:G68"/>
    <mergeCell ref="A70:I70"/>
    <mergeCell ref="A71:I71"/>
    <mergeCell ref="A72:I72"/>
    <mergeCell ref="B73:H73"/>
    <mergeCell ref="B61:G61"/>
    <mergeCell ref="B62:C62"/>
    <mergeCell ref="B63:G63"/>
    <mergeCell ref="B64:G64"/>
    <mergeCell ref="B65:G65"/>
    <mergeCell ref="B66:G66"/>
    <mergeCell ref="B80:G80"/>
    <mergeCell ref="B81:G81"/>
    <mergeCell ref="B82:G82"/>
    <mergeCell ref="B83:H83"/>
    <mergeCell ref="B84:H84"/>
    <mergeCell ref="B85:H85"/>
    <mergeCell ref="B74:H74"/>
    <mergeCell ref="B75:G75"/>
    <mergeCell ref="B76:G76"/>
    <mergeCell ref="B77:G77"/>
    <mergeCell ref="B78:G78"/>
    <mergeCell ref="B79:H79"/>
    <mergeCell ref="B92:H92"/>
    <mergeCell ref="B93:H93"/>
    <mergeCell ref="B94:H94"/>
    <mergeCell ref="B95:H95"/>
    <mergeCell ref="A96:H96"/>
    <mergeCell ref="A97:I97"/>
    <mergeCell ref="B86:H86"/>
    <mergeCell ref="B87:H87"/>
    <mergeCell ref="A88:I88"/>
    <mergeCell ref="A89:I89"/>
    <mergeCell ref="A90:I90"/>
    <mergeCell ref="A91:I91"/>
    <mergeCell ref="B104:G104"/>
    <mergeCell ref="A105:H105"/>
    <mergeCell ref="A106:I106"/>
    <mergeCell ref="A107:I107"/>
    <mergeCell ref="A108:I108"/>
    <mergeCell ref="A109:I109"/>
    <mergeCell ref="A98:I98"/>
    <mergeCell ref="B99:H99"/>
    <mergeCell ref="B100:H100"/>
    <mergeCell ref="B101:H101"/>
    <mergeCell ref="B102:H102"/>
    <mergeCell ref="B103:H103"/>
    <mergeCell ref="B117:H117"/>
    <mergeCell ref="B118:H118"/>
    <mergeCell ref="B119:H119"/>
    <mergeCell ref="B120:H120"/>
    <mergeCell ref="A121:H121"/>
    <mergeCell ref="A122:I122"/>
    <mergeCell ref="A110:I110"/>
    <mergeCell ref="A112:I112"/>
    <mergeCell ref="A113:I113"/>
    <mergeCell ref="B114:H114"/>
    <mergeCell ref="B115:F115"/>
    <mergeCell ref="B116:H116"/>
    <mergeCell ref="B129:H129"/>
    <mergeCell ref="B130:H130"/>
    <mergeCell ref="B131:H131"/>
    <mergeCell ref="A132:H132"/>
    <mergeCell ref="A133:I133"/>
    <mergeCell ref="A134:I134"/>
    <mergeCell ref="A123:I123"/>
    <mergeCell ref="B124:H124"/>
    <mergeCell ref="B125:H125"/>
    <mergeCell ref="A126:H126"/>
    <mergeCell ref="A127:I127"/>
    <mergeCell ref="A128:I128"/>
    <mergeCell ref="A143:I143"/>
    <mergeCell ref="A145:I145"/>
    <mergeCell ref="B146:G146"/>
    <mergeCell ref="A147:G147"/>
    <mergeCell ref="B148:G148"/>
    <mergeCell ref="A149:G149"/>
    <mergeCell ref="B135:H135"/>
    <mergeCell ref="B136:H136"/>
    <mergeCell ref="B137:H137"/>
    <mergeCell ref="B140:H140"/>
    <mergeCell ref="A141:H141"/>
    <mergeCell ref="A142:I142"/>
    <mergeCell ref="B138:H138"/>
    <mergeCell ref="B139:H139"/>
    <mergeCell ref="B156:G156"/>
    <mergeCell ref="B157:G157"/>
    <mergeCell ref="B158:G158"/>
    <mergeCell ref="B159:G159"/>
    <mergeCell ref="B160:G160"/>
    <mergeCell ref="A161:H161"/>
    <mergeCell ref="B150:G150"/>
    <mergeCell ref="A151:G151"/>
    <mergeCell ref="B152:G152"/>
    <mergeCell ref="B153:G153"/>
    <mergeCell ref="B154:G154"/>
    <mergeCell ref="B155:G155"/>
    <mergeCell ref="A167:I167"/>
    <mergeCell ref="A168:I168"/>
    <mergeCell ref="A169:I169"/>
    <mergeCell ref="A170:I170"/>
    <mergeCell ref="A171:H171"/>
    <mergeCell ref="B172:H172"/>
    <mergeCell ref="A162:I162"/>
    <mergeCell ref="A163:G163"/>
    <mergeCell ref="A164:B166"/>
    <mergeCell ref="C164:I164"/>
    <mergeCell ref="C165:I165"/>
    <mergeCell ref="C166:I166"/>
    <mergeCell ref="A179:H179"/>
    <mergeCell ref="A180:I180"/>
    <mergeCell ref="A181:I181"/>
    <mergeCell ref="A182:F182"/>
    <mergeCell ref="G182:I182"/>
    <mergeCell ref="A183:I183"/>
    <mergeCell ref="B173:H173"/>
    <mergeCell ref="B174:H174"/>
    <mergeCell ref="B175:H175"/>
    <mergeCell ref="B176:H176"/>
    <mergeCell ref="A177:H177"/>
    <mergeCell ref="B178:H178"/>
    <mergeCell ref="A188:I188"/>
    <mergeCell ref="A189:C190"/>
    <mergeCell ref="D189:I190"/>
    <mergeCell ref="A191:C191"/>
    <mergeCell ref="D191:I191"/>
    <mergeCell ref="A192:C192"/>
    <mergeCell ref="D192:I192"/>
    <mergeCell ref="A184:F184"/>
    <mergeCell ref="G184:I184"/>
    <mergeCell ref="A185:I185"/>
    <mergeCell ref="A186:F186"/>
    <mergeCell ref="G186:I186"/>
    <mergeCell ref="A187:I187"/>
    <mergeCell ref="A193:I194"/>
    <mergeCell ref="A195:I195"/>
    <mergeCell ref="A199:G199"/>
    <mergeCell ref="H199:I199"/>
    <mergeCell ref="A196:G196"/>
    <mergeCell ref="H196:I196"/>
    <mergeCell ref="A197:G197"/>
    <mergeCell ref="H197:I197"/>
    <mergeCell ref="A198:G198"/>
    <mergeCell ref="H198:I198"/>
  </mergeCells>
  <pageMargins left="1.3779527559055118" right="0.39370078740157483" top="0.39370078740157483" bottom="0.39370078740157483" header="0.31496062992125984" footer="0.31496062992125984"/>
  <pageSetup paperSize="9" scale="65" orientation="portrait" horizontalDpi="300" verticalDpi="300" r:id="rId1"/>
  <rowBreaks count="3" manualBreakCount="3">
    <brk id="45" max="8" man="1"/>
    <brk id="97" max="8" man="1"/>
    <brk id="144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5C826-82CA-48EC-A586-CD4AC74F00F7}">
  <dimension ref="A1:L132"/>
  <sheetViews>
    <sheetView topLeftCell="A30" zoomScaleNormal="100" workbookViewId="0">
      <selection activeCell="J16" sqref="J16"/>
    </sheetView>
  </sheetViews>
  <sheetFormatPr defaultColWidth="0" defaultRowHeight="12.75" zeroHeight="1" x14ac:dyDescent="0.2"/>
  <cols>
    <col min="1" max="2" width="1.7109375" style="103" customWidth="1"/>
    <col min="3" max="3" width="68.28515625" style="103" customWidth="1"/>
    <col min="4" max="4" width="8.5703125" style="106" bestFit="1" customWidth="1"/>
    <col min="5" max="5" width="13.5703125" style="106" customWidth="1"/>
    <col min="6" max="6" width="12.42578125" style="106" customWidth="1"/>
    <col min="7" max="7" width="11.42578125" style="98" customWidth="1"/>
    <col min="8" max="8" width="13.28515625" style="98" customWidth="1"/>
    <col min="9" max="10" width="18.28515625" style="103" customWidth="1"/>
    <col min="11" max="12" width="1.7109375" style="103" customWidth="1"/>
    <col min="13" max="16384" width="0" style="103" hidden="1"/>
  </cols>
  <sheetData>
    <row r="1" spans="1:12" ht="8.1" customHeight="1" thickBot="1" x14ac:dyDescent="0.25">
      <c r="A1" s="116"/>
      <c r="B1" s="116"/>
      <c r="C1" s="116"/>
      <c r="D1" s="117"/>
      <c r="E1" s="117"/>
      <c r="F1" s="117"/>
      <c r="G1" s="141"/>
      <c r="H1" s="141"/>
      <c r="I1" s="116"/>
      <c r="J1" s="116"/>
      <c r="K1" s="116"/>
      <c r="L1" s="116"/>
    </row>
    <row r="2" spans="1:12" ht="12.75" customHeight="1" thickTop="1" x14ac:dyDescent="0.2">
      <c r="A2" s="116"/>
      <c r="B2" s="337" t="s">
        <v>199</v>
      </c>
      <c r="C2" s="338"/>
      <c r="D2" s="338"/>
      <c r="E2" s="338"/>
      <c r="F2" s="338"/>
      <c r="G2" s="338"/>
      <c r="H2" s="338"/>
      <c r="I2" s="338"/>
      <c r="J2" s="338"/>
      <c r="K2" s="339"/>
      <c r="L2" s="116"/>
    </row>
    <row r="3" spans="1:12" x14ac:dyDescent="0.2">
      <c r="A3" s="116"/>
      <c r="B3" s="340"/>
      <c r="C3" s="341"/>
      <c r="D3" s="341"/>
      <c r="E3" s="341"/>
      <c r="F3" s="341"/>
      <c r="G3" s="341"/>
      <c r="H3" s="341"/>
      <c r="I3" s="341"/>
      <c r="J3" s="341"/>
      <c r="K3" s="342"/>
      <c r="L3" s="116"/>
    </row>
    <row r="4" spans="1:12" ht="8.1" customHeight="1" x14ac:dyDescent="0.2">
      <c r="A4" s="116"/>
      <c r="B4" s="158"/>
      <c r="C4" s="332"/>
      <c r="D4" s="332"/>
      <c r="E4" s="332"/>
      <c r="F4" s="332"/>
      <c r="G4" s="332"/>
      <c r="H4" s="332"/>
      <c r="I4" s="159"/>
      <c r="J4" s="159"/>
      <c r="K4" s="160"/>
      <c r="L4" s="116"/>
    </row>
    <row r="5" spans="1:12" ht="38.25" x14ac:dyDescent="0.2">
      <c r="A5" s="116"/>
      <c r="B5" s="142"/>
      <c r="C5" s="165" t="s">
        <v>200</v>
      </c>
      <c r="D5" s="161" t="s">
        <v>153</v>
      </c>
      <c r="E5" s="161" t="s">
        <v>229</v>
      </c>
      <c r="F5" s="161" t="s">
        <v>193</v>
      </c>
      <c r="G5" s="161" t="s">
        <v>156</v>
      </c>
      <c r="H5" s="162" t="s">
        <v>157</v>
      </c>
      <c r="I5" s="162" t="s">
        <v>158</v>
      </c>
      <c r="J5" s="144"/>
      <c r="K5" s="143"/>
      <c r="L5" s="116"/>
    </row>
    <row r="6" spans="1:12" x14ac:dyDescent="0.2">
      <c r="A6" s="116"/>
      <c r="B6" s="142"/>
      <c r="C6" s="107" t="s">
        <v>206</v>
      </c>
      <c r="D6" s="120" t="s">
        <v>160</v>
      </c>
      <c r="E6" s="104">
        <v>2</v>
      </c>
      <c r="F6" s="121">
        <v>24</v>
      </c>
      <c r="G6" s="122">
        <f>12/F6*E6</f>
        <v>1</v>
      </c>
      <c r="H6" s="174">
        <v>6.94</v>
      </c>
      <c r="I6" s="132">
        <f>G6*H6</f>
        <v>6.94</v>
      </c>
      <c r="J6" s="144"/>
      <c r="K6" s="143"/>
      <c r="L6" s="116"/>
    </row>
    <row r="7" spans="1:12" x14ac:dyDescent="0.2">
      <c r="A7" s="116"/>
      <c r="B7" s="142"/>
      <c r="C7" s="107"/>
      <c r="D7" s="104"/>
      <c r="E7" s="104"/>
      <c r="F7" s="105"/>
      <c r="G7" s="108"/>
      <c r="H7" s="175"/>
      <c r="I7" s="132"/>
      <c r="J7" s="144"/>
      <c r="K7" s="143"/>
      <c r="L7" s="116"/>
    </row>
    <row r="8" spans="1:12" ht="14.65" customHeight="1" x14ac:dyDescent="0.2">
      <c r="A8" s="116"/>
      <c r="B8" s="142"/>
      <c r="C8" s="333" t="s">
        <v>194</v>
      </c>
      <c r="D8" s="333"/>
      <c r="E8" s="333"/>
      <c r="F8" s="333"/>
      <c r="G8" s="333"/>
      <c r="H8" s="333"/>
      <c r="I8" s="154">
        <f>SUM(I6:I7)</f>
        <v>6.94</v>
      </c>
      <c r="J8" s="144"/>
      <c r="K8" s="143"/>
      <c r="L8" s="116"/>
    </row>
    <row r="9" spans="1:12" ht="14.65" customHeight="1" x14ac:dyDescent="0.2">
      <c r="A9" s="116"/>
      <c r="B9" s="142"/>
      <c r="C9" s="333" t="s">
        <v>195</v>
      </c>
      <c r="D9" s="333"/>
      <c r="E9" s="333"/>
      <c r="F9" s="333"/>
      <c r="G9" s="333"/>
      <c r="H9" s="333"/>
      <c r="I9" s="155">
        <f>I8/12</f>
        <v>0.57833333333333337</v>
      </c>
      <c r="J9" s="144"/>
      <c r="K9" s="143"/>
      <c r="L9" s="116"/>
    </row>
    <row r="10" spans="1:12" ht="8.1" customHeight="1" x14ac:dyDescent="0.2">
      <c r="A10" s="116"/>
      <c r="B10" s="158"/>
      <c r="C10" s="332"/>
      <c r="D10" s="332"/>
      <c r="E10" s="332"/>
      <c r="F10" s="332"/>
      <c r="G10" s="332"/>
      <c r="H10" s="332"/>
      <c r="I10" s="159"/>
      <c r="J10" s="159"/>
      <c r="K10" s="160"/>
      <c r="L10" s="116"/>
    </row>
    <row r="11" spans="1:12" ht="38.25" x14ac:dyDescent="0.2">
      <c r="A11" s="116"/>
      <c r="B11" s="142"/>
      <c r="C11" s="165" t="s">
        <v>201</v>
      </c>
      <c r="D11" s="161" t="s">
        <v>153</v>
      </c>
      <c r="E11" s="161" t="s">
        <v>229</v>
      </c>
      <c r="F11" s="161" t="s">
        <v>155</v>
      </c>
      <c r="G11" s="161" t="s">
        <v>156</v>
      </c>
      <c r="H11" s="162" t="s">
        <v>157</v>
      </c>
      <c r="I11" s="162" t="s">
        <v>158</v>
      </c>
      <c r="J11" s="144"/>
      <c r="K11" s="143"/>
      <c r="L11" s="116"/>
    </row>
    <row r="12" spans="1:12" x14ac:dyDescent="0.2">
      <c r="A12" s="116"/>
      <c r="B12" s="142"/>
      <c r="C12" s="123" t="s">
        <v>213</v>
      </c>
      <c r="D12" s="124" t="s">
        <v>160</v>
      </c>
      <c r="E12" s="124">
        <v>2</v>
      </c>
      <c r="F12" s="125">
        <v>60</v>
      </c>
      <c r="G12" s="122">
        <f>12/F12*E12</f>
        <v>0.4</v>
      </c>
      <c r="H12" s="176">
        <v>590.45000000000005</v>
      </c>
      <c r="I12" s="132">
        <f>G12*H12</f>
        <v>236.18000000000004</v>
      </c>
      <c r="J12" s="144"/>
      <c r="K12" s="143"/>
      <c r="L12" s="116"/>
    </row>
    <row r="13" spans="1:12" x14ac:dyDescent="0.2">
      <c r="A13" s="116"/>
      <c r="B13" s="142"/>
      <c r="C13" s="123"/>
      <c r="D13" s="124"/>
      <c r="E13" s="124"/>
      <c r="F13" s="125"/>
      <c r="G13" s="126"/>
      <c r="H13" s="176"/>
      <c r="I13" s="112"/>
      <c r="J13" s="144"/>
      <c r="K13" s="143"/>
      <c r="L13" s="116"/>
    </row>
    <row r="14" spans="1:12" x14ac:dyDescent="0.2">
      <c r="A14" s="116"/>
      <c r="B14" s="142"/>
      <c r="C14" s="334" t="s">
        <v>161</v>
      </c>
      <c r="D14" s="334"/>
      <c r="E14" s="334"/>
      <c r="F14" s="334"/>
      <c r="G14" s="334"/>
      <c r="H14" s="334"/>
      <c r="I14" s="156">
        <f>SUM(I12:I13)</f>
        <v>236.18000000000004</v>
      </c>
      <c r="J14" s="144"/>
      <c r="K14" s="143"/>
      <c r="L14" s="116"/>
    </row>
    <row r="15" spans="1:12" ht="12.75" customHeight="1" x14ac:dyDescent="0.2">
      <c r="A15" s="116"/>
      <c r="B15" s="142"/>
      <c r="C15" s="333" t="s">
        <v>162</v>
      </c>
      <c r="D15" s="333"/>
      <c r="E15" s="333"/>
      <c r="F15" s="333"/>
      <c r="G15" s="333"/>
      <c r="H15" s="333"/>
      <c r="I15" s="157">
        <f>I14/12</f>
        <v>19.681666666666668</v>
      </c>
      <c r="J15" s="144"/>
      <c r="K15" s="143"/>
      <c r="L15" s="116"/>
    </row>
    <row r="16" spans="1:12" ht="8.1" customHeight="1" x14ac:dyDescent="0.2">
      <c r="A16" s="116"/>
      <c r="B16" s="158"/>
      <c r="C16" s="332"/>
      <c r="D16" s="332"/>
      <c r="E16" s="332"/>
      <c r="F16" s="332"/>
      <c r="G16" s="332"/>
      <c r="H16" s="332"/>
      <c r="I16" s="159"/>
      <c r="J16" s="159"/>
      <c r="K16" s="160"/>
      <c r="L16" s="116"/>
    </row>
    <row r="17" spans="1:12" ht="38.25" x14ac:dyDescent="0.2">
      <c r="A17" s="116"/>
      <c r="B17" s="142"/>
      <c r="C17" s="165" t="s">
        <v>232</v>
      </c>
      <c r="D17" s="161" t="s">
        <v>153</v>
      </c>
      <c r="E17" s="161" t="s">
        <v>230</v>
      </c>
      <c r="F17" s="161" t="s">
        <v>227</v>
      </c>
      <c r="G17" s="161" t="s">
        <v>228</v>
      </c>
      <c r="H17" s="162" t="s">
        <v>157</v>
      </c>
      <c r="I17" s="162" t="s">
        <v>158</v>
      </c>
      <c r="J17" s="144"/>
      <c r="K17" s="143"/>
      <c r="L17" s="116"/>
    </row>
    <row r="18" spans="1:12" x14ac:dyDescent="0.2">
      <c r="A18" s="116"/>
      <c r="B18" s="142"/>
      <c r="C18" s="109" t="s">
        <v>163</v>
      </c>
      <c r="D18" s="110" t="s">
        <v>160</v>
      </c>
      <c r="E18" s="131">
        <v>2</v>
      </c>
      <c r="F18" s="111">
        <f>E18*2</f>
        <v>4</v>
      </c>
      <c r="G18" s="111">
        <f>F18</f>
        <v>4</v>
      </c>
      <c r="H18" s="176">
        <v>75</v>
      </c>
      <c r="I18" s="112">
        <f t="shared" ref="I18:I26" si="0">G18*H18</f>
        <v>300</v>
      </c>
      <c r="J18" s="144"/>
      <c r="K18" s="143"/>
      <c r="L18" s="116"/>
    </row>
    <row r="19" spans="1:12" x14ac:dyDescent="0.2">
      <c r="A19" s="116"/>
      <c r="B19" s="142"/>
      <c r="C19" s="109" t="s">
        <v>164</v>
      </c>
      <c r="D19" s="113" t="s">
        <v>173</v>
      </c>
      <c r="E19" s="131">
        <v>2</v>
      </c>
      <c r="F19" s="111">
        <f t="shared" ref="F19:F26" si="1">E19*2</f>
        <v>4</v>
      </c>
      <c r="G19" s="114">
        <v>2</v>
      </c>
      <c r="H19" s="177">
        <v>84.66</v>
      </c>
      <c r="I19" s="112">
        <f t="shared" si="0"/>
        <v>169.32</v>
      </c>
      <c r="J19" s="144"/>
      <c r="K19" s="143"/>
      <c r="L19" s="116"/>
    </row>
    <row r="20" spans="1:12" x14ac:dyDescent="0.2">
      <c r="A20" s="116"/>
      <c r="B20" s="142"/>
      <c r="C20" s="109" t="s">
        <v>165</v>
      </c>
      <c r="D20" s="110" t="s">
        <v>160</v>
      </c>
      <c r="E20" s="131">
        <v>2</v>
      </c>
      <c r="F20" s="111">
        <f t="shared" si="1"/>
        <v>4</v>
      </c>
      <c r="G20" s="111">
        <v>2</v>
      </c>
      <c r="H20" s="176">
        <v>130.25</v>
      </c>
      <c r="I20" s="112">
        <f t="shared" si="0"/>
        <v>260.5</v>
      </c>
      <c r="J20" s="144"/>
      <c r="K20" s="143"/>
      <c r="L20" s="116"/>
    </row>
    <row r="21" spans="1:12" x14ac:dyDescent="0.2">
      <c r="A21" s="116"/>
      <c r="B21" s="142"/>
      <c r="C21" s="109" t="s">
        <v>166</v>
      </c>
      <c r="D21" s="110" t="s">
        <v>160</v>
      </c>
      <c r="E21" s="131">
        <v>1</v>
      </c>
      <c r="F21" s="111">
        <f t="shared" si="1"/>
        <v>2</v>
      </c>
      <c r="G21" s="111">
        <v>2</v>
      </c>
      <c r="H21" s="176">
        <v>39.57</v>
      </c>
      <c r="I21" s="112">
        <f t="shared" si="0"/>
        <v>79.14</v>
      </c>
      <c r="J21" s="144"/>
      <c r="K21" s="143"/>
      <c r="L21" s="116"/>
    </row>
    <row r="22" spans="1:12" x14ac:dyDescent="0.2">
      <c r="A22" s="116"/>
      <c r="B22" s="142"/>
      <c r="C22" s="109" t="s">
        <v>196</v>
      </c>
      <c r="D22" s="110" t="s">
        <v>160</v>
      </c>
      <c r="E22" s="131">
        <v>1</v>
      </c>
      <c r="F22" s="111">
        <f t="shared" si="1"/>
        <v>2</v>
      </c>
      <c r="G22" s="111">
        <v>2</v>
      </c>
      <c r="H22" s="176">
        <v>206.46</v>
      </c>
      <c r="I22" s="112">
        <f t="shared" si="0"/>
        <v>412.92</v>
      </c>
      <c r="J22" s="144"/>
      <c r="K22" s="143"/>
      <c r="L22" s="116"/>
    </row>
    <row r="23" spans="1:12" x14ac:dyDescent="0.2">
      <c r="A23" s="116"/>
      <c r="B23" s="142"/>
      <c r="C23" s="109" t="s">
        <v>167</v>
      </c>
      <c r="D23" s="110" t="s">
        <v>160</v>
      </c>
      <c r="E23" s="131">
        <v>1</v>
      </c>
      <c r="F23" s="111">
        <f t="shared" si="1"/>
        <v>2</v>
      </c>
      <c r="G23" s="111">
        <v>2</v>
      </c>
      <c r="H23" s="176">
        <v>32.22</v>
      </c>
      <c r="I23" s="112">
        <f t="shared" si="0"/>
        <v>64.44</v>
      </c>
      <c r="J23" s="144"/>
      <c r="K23" s="143"/>
      <c r="L23" s="116"/>
    </row>
    <row r="24" spans="1:12" x14ac:dyDescent="0.2">
      <c r="A24" s="116"/>
      <c r="B24" s="142"/>
      <c r="C24" s="109" t="s">
        <v>168</v>
      </c>
      <c r="D24" s="110" t="s">
        <v>160</v>
      </c>
      <c r="E24" s="131">
        <v>1</v>
      </c>
      <c r="F24" s="111">
        <f t="shared" si="1"/>
        <v>2</v>
      </c>
      <c r="G24" s="111">
        <v>2</v>
      </c>
      <c r="H24" s="176">
        <v>22.86</v>
      </c>
      <c r="I24" s="112">
        <f t="shared" si="0"/>
        <v>45.72</v>
      </c>
      <c r="J24" s="144"/>
      <c r="K24" s="143"/>
      <c r="L24" s="116"/>
    </row>
    <row r="25" spans="1:12" x14ac:dyDescent="0.2">
      <c r="A25" s="116"/>
      <c r="B25" s="142"/>
      <c r="C25" s="109" t="s">
        <v>198</v>
      </c>
      <c r="D25" s="113" t="s">
        <v>173</v>
      </c>
      <c r="E25" s="131">
        <v>0.5</v>
      </c>
      <c r="F25" s="111">
        <f t="shared" si="1"/>
        <v>1</v>
      </c>
      <c r="G25" s="111">
        <v>2</v>
      </c>
      <c r="H25" s="177">
        <v>45.01</v>
      </c>
      <c r="I25" s="115">
        <f t="shared" si="0"/>
        <v>90.02</v>
      </c>
      <c r="J25" s="144"/>
      <c r="K25" s="143"/>
      <c r="L25" s="116"/>
    </row>
    <row r="26" spans="1:12" x14ac:dyDescent="0.2">
      <c r="A26" s="116"/>
      <c r="B26" s="142"/>
      <c r="C26" s="109" t="s">
        <v>197</v>
      </c>
      <c r="D26" s="113" t="s">
        <v>169</v>
      </c>
      <c r="E26" s="131">
        <v>1</v>
      </c>
      <c r="F26" s="111">
        <f t="shared" si="1"/>
        <v>2</v>
      </c>
      <c r="G26" s="111">
        <v>2</v>
      </c>
      <c r="H26" s="177">
        <v>109.53</v>
      </c>
      <c r="I26" s="115">
        <f t="shared" si="0"/>
        <v>219.06</v>
      </c>
      <c r="J26" s="144"/>
      <c r="K26" s="143"/>
      <c r="L26" s="116"/>
    </row>
    <row r="27" spans="1:12" x14ac:dyDescent="0.2">
      <c r="A27" s="116"/>
      <c r="B27" s="142"/>
      <c r="C27" s="109"/>
      <c r="D27" s="113"/>
      <c r="E27" s="131"/>
      <c r="F27" s="111"/>
      <c r="G27" s="111"/>
      <c r="H27" s="177"/>
      <c r="I27" s="115"/>
      <c r="J27" s="144"/>
      <c r="K27" s="143"/>
      <c r="L27" s="116"/>
    </row>
    <row r="28" spans="1:12" x14ac:dyDescent="0.2">
      <c r="A28" s="116"/>
      <c r="B28" s="142"/>
      <c r="C28" s="344" t="s">
        <v>233</v>
      </c>
      <c r="D28" s="345"/>
      <c r="E28" s="345"/>
      <c r="F28" s="345"/>
      <c r="G28" s="345"/>
      <c r="H28" s="346"/>
      <c r="I28" s="163">
        <f>SUM(I18:I27)</f>
        <v>1641.12</v>
      </c>
      <c r="J28" s="144"/>
      <c r="K28" s="143"/>
      <c r="L28" s="116"/>
    </row>
    <row r="29" spans="1:12" ht="12.75" customHeight="1" x14ac:dyDescent="0.2">
      <c r="A29" s="116"/>
      <c r="B29" s="142"/>
      <c r="C29" s="344" t="s">
        <v>234</v>
      </c>
      <c r="D29" s="345"/>
      <c r="E29" s="345"/>
      <c r="F29" s="345"/>
      <c r="G29" s="345"/>
      <c r="H29" s="346"/>
      <c r="I29" s="155">
        <f>ROUND(I28/12,2)</f>
        <v>136.76</v>
      </c>
      <c r="J29" s="144"/>
      <c r="K29" s="143"/>
      <c r="L29" s="116"/>
    </row>
    <row r="30" spans="1:12" ht="12.75" customHeight="1" thickBot="1" x14ac:dyDescent="0.25">
      <c r="A30" s="116"/>
      <c r="B30" s="145"/>
      <c r="C30" s="146"/>
      <c r="D30" s="146"/>
      <c r="E30" s="146"/>
      <c r="F30" s="146"/>
      <c r="G30" s="146"/>
      <c r="H30" s="146"/>
      <c r="I30" s="146"/>
      <c r="J30" s="146"/>
      <c r="K30" s="147"/>
      <c r="L30" s="116"/>
    </row>
    <row r="31" spans="1:12" ht="12.75" customHeight="1" thickTop="1" thickBot="1" x14ac:dyDescent="0.25">
      <c r="A31" s="116"/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</row>
    <row r="32" spans="1:12" ht="12.75" customHeight="1" thickTop="1" x14ac:dyDescent="0.2">
      <c r="A32" s="116"/>
      <c r="B32" s="337" t="s">
        <v>258</v>
      </c>
      <c r="C32" s="338"/>
      <c r="D32" s="338"/>
      <c r="E32" s="338"/>
      <c r="F32" s="338"/>
      <c r="G32" s="338"/>
      <c r="H32" s="338"/>
      <c r="I32" s="338"/>
      <c r="J32" s="338"/>
      <c r="K32" s="339"/>
      <c r="L32" s="116"/>
    </row>
    <row r="33" spans="1:12" x14ac:dyDescent="0.2">
      <c r="A33" s="116"/>
      <c r="B33" s="340"/>
      <c r="C33" s="341"/>
      <c r="D33" s="341"/>
      <c r="E33" s="341"/>
      <c r="F33" s="341"/>
      <c r="G33" s="341"/>
      <c r="H33" s="341"/>
      <c r="I33" s="341"/>
      <c r="J33" s="341"/>
      <c r="K33" s="342"/>
      <c r="L33" s="116"/>
    </row>
    <row r="34" spans="1:12" ht="8.1" customHeight="1" x14ac:dyDescent="0.2">
      <c r="A34" s="116"/>
      <c r="B34" s="158"/>
      <c r="C34" s="332"/>
      <c r="D34" s="332"/>
      <c r="E34" s="332"/>
      <c r="F34" s="332"/>
      <c r="G34" s="332"/>
      <c r="H34" s="332"/>
      <c r="I34" s="159"/>
      <c r="J34" s="159"/>
      <c r="K34" s="160"/>
      <c r="L34" s="116"/>
    </row>
    <row r="35" spans="1:12" ht="25.5" x14ac:dyDescent="0.2">
      <c r="A35" s="116"/>
      <c r="B35" s="142"/>
      <c r="C35" s="165" t="s">
        <v>257</v>
      </c>
      <c r="D35" s="161" t="s">
        <v>153</v>
      </c>
      <c r="E35" s="161" t="s">
        <v>154</v>
      </c>
      <c r="F35" s="161" t="s">
        <v>155</v>
      </c>
      <c r="G35" s="161" t="s">
        <v>156</v>
      </c>
      <c r="H35" s="162" t="s">
        <v>157</v>
      </c>
      <c r="I35" s="162" t="s">
        <v>158</v>
      </c>
      <c r="J35" s="144"/>
      <c r="K35" s="143"/>
      <c r="L35" s="116"/>
    </row>
    <row r="36" spans="1:12" x14ac:dyDescent="0.2">
      <c r="A36" s="116"/>
      <c r="B36" s="142"/>
      <c r="C36" s="129" t="s">
        <v>159</v>
      </c>
      <c r="D36" s="110" t="s">
        <v>160</v>
      </c>
      <c r="E36" s="110">
        <v>1</v>
      </c>
      <c r="F36" s="130">
        <v>60</v>
      </c>
      <c r="G36" s="131">
        <f>12/F36*E36</f>
        <v>0.2</v>
      </c>
      <c r="H36" s="176">
        <v>1980.49</v>
      </c>
      <c r="I36" s="112">
        <f>G36*H36</f>
        <v>396.09800000000001</v>
      </c>
      <c r="J36" s="144"/>
      <c r="K36" s="143"/>
      <c r="L36" s="116"/>
    </row>
    <row r="37" spans="1:12" x14ac:dyDescent="0.2">
      <c r="A37" s="116"/>
      <c r="B37" s="142"/>
      <c r="C37" s="123"/>
      <c r="D37" s="124"/>
      <c r="E37" s="124"/>
      <c r="F37" s="125"/>
      <c r="G37" s="126"/>
      <c r="H37" s="176"/>
      <c r="I37" s="112">
        <f>G37*H37</f>
        <v>0</v>
      </c>
      <c r="J37" s="144"/>
      <c r="K37" s="143"/>
      <c r="L37" s="116"/>
    </row>
    <row r="38" spans="1:12" x14ac:dyDescent="0.2">
      <c r="A38" s="116"/>
      <c r="B38" s="142"/>
      <c r="C38" s="334" t="s">
        <v>161</v>
      </c>
      <c r="D38" s="334"/>
      <c r="E38" s="334"/>
      <c r="F38" s="334"/>
      <c r="G38" s="334"/>
      <c r="H38" s="334"/>
      <c r="I38" s="156">
        <f>SUM(I36:I37)</f>
        <v>396.09800000000001</v>
      </c>
      <c r="J38" s="144"/>
      <c r="K38" s="143"/>
      <c r="L38" s="116"/>
    </row>
    <row r="39" spans="1:12" ht="12.75" customHeight="1" x14ac:dyDescent="0.2">
      <c r="A39" s="116"/>
      <c r="B39" s="142"/>
      <c r="C39" s="333" t="s">
        <v>162</v>
      </c>
      <c r="D39" s="333"/>
      <c r="E39" s="333"/>
      <c r="F39" s="333"/>
      <c r="G39" s="333"/>
      <c r="H39" s="333"/>
      <c r="I39" s="157">
        <f>I38/12</f>
        <v>33.008166666666668</v>
      </c>
      <c r="J39" s="144"/>
      <c r="K39" s="143"/>
      <c r="L39" s="116"/>
    </row>
    <row r="40" spans="1:12" ht="12.75" customHeight="1" thickBot="1" x14ac:dyDescent="0.25">
      <c r="A40" s="116"/>
      <c r="B40" s="145"/>
      <c r="C40" s="146"/>
      <c r="D40" s="146"/>
      <c r="E40" s="146"/>
      <c r="F40" s="146"/>
      <c r="G40" s="146"/>
      <c r="H40" s="146"/>
      <c r="I40" s="146"/>
      <c r="J40" s="146"/>
      <c r="K40" s="147"/>
      <c r="L40" s="116"/>
    </row>
    <row r="41" spans="1:12" ht="12.75" customHeight="1" thickTop="1" thickBot="1" x14ac:dyDescent="0.25">
      <c r="A41" s="116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</row>
    <row r="42" spans="1:12" ht="12.75" customHeight="1" thickTop="1" x14ac:dyDescent="0.2">
      <c r="A42" s="116"/>
      <c r="B42" s="337" t="s">
        <v>170</v>
      </c>
      <c r="C42" s="338"/>
      <c r="D42" s="338"/>
      <c r="E42" s="338"/>
      <c r="F42" s="338"/>
      <c r="G42" s="338"/>
      <c r="H42" s="338"/>
      <c r="I42" s="338"/>
      <c r="J42" s="338"/>
      <c r="K42" s="339"/>
      <c r="L42" s="116"/>
    </row>
    <row r="43" spans="1:12" x14ac:dyDescent="0.2">
      <c r="A43" s="116"/>
      <c r="B43" s="340"/>
      <c r="C43" s="341"/>
      <c r="D43" s="341"/>
      <c r="E43" s="341"/>
      <c r="F43" s="341"/>
      <c r="G43" s="341"/>
      <c r="H43" s="341"/>
      <c r="I43" s="341"/>
      <c r="J43" s="341"/>
      <c r="K43" s="342"/>
      <c r="L43" s="116"/>
    </row>
    <row r="44" spans="1:12" ht="8.1" customHeight="1" x14ac:dyDescent="0.2">
      <c r="A44" s="116"/>
      <c r="B44" s="158"/>
      <c r="C44" s="332"/>
      <c r="D44" s="332"/>
      <c r="E44" s="332"/>
      <c r="F44" s="332"/>
      <c r="G44" s="332"/>
      <c r="H44" s="332"/>
      <c r="I44" s="159"/>
      <c r="J44" s="159"/>
      <c r="K44" s="160"/>
      <c r="L44" s="116"/>
    </row>
    <row r="45" spans="1:12" ht="31.5" x14ac:dyDescent="0.2">
      <c r="A45" s="116"/>
      <c r="B45" s="142"/>
      <c r="C45" s="166" t="s">
        <v>205</v>
      </c>
      <c r="D45" s="343" t="s">
        <v>171</v>
      </c>
      <c r="E45" s="343"/>
      <c r="F45" s="343" t="s">
        <v>172</v>
      </c>
      <c r="G45" s="343"/>
      <c r="H45" s="167" t="s">
        <v>202</v>
      </c>
      <c r="I45" s="167" t="s">
        <v>204</v>
      </c>
      <c r="J45" s="167" t="s">
        <v>203</v>
      </c>
      <c r="K45" s="148"/>
      <c r="L45" s="116"/>
    </row>
    <row r="46" spans="1:12" x14ac:dyDescent="0.2">
      <c r="A46" s="116"/>
      <c r="B46" s="142"/>
      <c r="C46" s="139" t="str">
        <f>C5</f>
        <v>MATERIAIS - ASP</v>
      </c>
      <c r="D46" s="336">
        <f>I8</f>
        <v>6.94</v>
      </c>
      <c r="E46" s="336">
        <f>SUM(D46:D46)</f>
        <v>6.94</v>
      </c>
      <c r="F46" s="336">
        <f>ROUND(D46/12,2)</f>
        <v>0.57999999999999996</v>
      </c>
      <c r="G46" s="336"/>
      <c r="H46" s="188">
        <v>4</v>
      </c>
      <c r="I46" s="140">
        <f>F46*1*H46</f>
        <v>2.3199999999999998</v>
      </c>
      <c r="J46" s="140">
        <f>ROUND(I46/H46,2)</f>
        <v>0.57999999999999996</v>
      </c>
      <c r="K46" s="149"/>
      <c r="L46" s="119"/>
    </row>
    <row r="47" spans="1:12" x14ac:dyDescent="0.2">
      <c r="A47" s="116"/>
      <c r="B47" s="142"/>
      <c r="C47" s="139" t="str">
        <f>C11</f>
        <v>EQUIPAMENTOS - ASP</v>
      </c>
      <c r="D47" s="336">
        <f>I14</f>
        <v>236.18000000000004</v>
      </c>
      <c r="E47" s="336"/>
      <c r="F47" s="336">
        <f>ROUND(D47/12,2)</f>
        <v>19.68</v>
      </c>
      <c r="G47" s="336"/>
      <c r="H47" s="188">
        <v>4</v>
      </c>
      <c r="I47" s="140">
        <f>F47*1*H47</f>
        <v>78.72</v>
      </c>
      <c r="J47" s="140">
        <f>ROUND(I47/H47,2)</f>
        <v>19.68</v>
      </c>
      <c r="K47" s="149"/>
      <c r="L47" s="119"/>
    </row>
    <row r="48" spans="1:12" x14ac:dyDescent="0.2">
      <c r="A48" s="116"/>
      <c r="B48" s="142"/>
      <c r="C48" s="139" t="str">
        <f>C17</f>
        <v>UNIFORMES - ASP (individual para posto)</v>
      </c>
      <c r="D48" s="336">
        <f>I28</f>
        <v>1641.12</v>
      </c>
      <c r="E48" s="336"/>
      <c r="F48" s="336">
        <f>ROUND(D48/12,2)</f>
        <v>136.76</v>
      </c>
      <c r="G48" s="336"/>
      <c r="H48" s="188">
        <v>4</v>
      </c>
      <c r="I48" s="140">
        <f>F48*1*H48</f>
        <v>547.04</v>
      </c>
      <c r="J48" s="140">
        <f>ROUND(I48/H48,2)</f>
        <v>136.76</v>
      </c>
      <c r="K48" s="149"/>
      <c r="L48" s="119"/>
    </row>
    <row r="49" spans="1:12" x14ac:dyDescent="0.2">
      <c r="A49" s="116"/>
      <c r="B49" s="142"/>
      <c r="C49" s="139" t="str">
        <f>C35</f>
        <v>EQUIPAMENTOS DE USO GERAL  - ASP</v>
      </c>
      <c r="D49" s="336">
        <f>I38</f>
        <v>396.09800000000001</v>
      </c>
      <c r="E49" s="336"/>
      <c r="F49" s="336">
        <f>ROUND(D49/12,2)</f>
        <v>33.01</v>
      </c>
      <c r="G49" s="336"/>
      <c r="H49" s="189">
        <v>4</v>
      </c>
      <c r="I49" s="140">
        <f>F49*1</f>
        <v>33.01</v>
      </c>
      <c r="J49" s="140">
        <f>ROUND(I49/H49,2)</f>
        <v>8.25</v>
      </c>
      <c r="K49" s="149"/>
      <c r="L49" s="119"/>
    </row>
    <row r="50" spans="1:12" x14ac:dyDescent="0.2">
      <c r="A50" s="116"/>
      <c r="B50" s="142"/>
      <c r="C50" s="157" t="s">
        <v>207</v>
      </c>
      <c r="D50" s="335">
        <f>D46+D47+D48+D49</f>
        <v>2280.3380000000002</v>
      </c>
      <c r="E50" s="335"/>
      <c r="F50" s="335">
        <v>205.81000000000003</v>
      </c>
      <c r="G50" s="335"/>
      <c r="H50" s="164"/>
      <c r="I50" s="164">
        <f>I49+I48+I47+I46</f>
        <v>661.09</v>
      </c>
      <c r="J50" s="164">
        <f>J49+J48+J47+J46</f>
        <v>165.27</v>
      </c>
      <c r="K50" s="150"/>
      <c r="L50" s="119"/>
    </row>
    <row r="51" spans="1:12" ht="13.5" thickBot="1" x14ac:dyDescent="0.25">
      <c r="A51" s="116"/>
      <c r="B51" s="145"/>
      <c r="C51" s="151"/>
      <c r="D51" s="152"/>
      <c r="E51" s="152"/>
      <c r="F51" s="152"/>
      <c r="G51" s="152"/>
      <c r="H51" s="153"/>
      <c r="I51" s="146"/>
      <c r="J51" s="146"/>
      <c r="K51" s="147"/>
      <c r="L51" s="116"/>
    </row>
    <row r="52" spans="1:12" ht="11.25" customHeight="1" thickTop="1" x14ac:dyDescent="0.2">
      <c r="A52" s="116"/>
      <c r="B52" s="116"/>
      <c r="C52" s="127"/>
      <c r="D52" s="128"/>
      <c r="E52" s="128"/>
      <c r="F52" s="128"/>
      <c r="G52" s="128"/>
      <c r="H52" s="118"/>
      <c r="I52" s="116"/>
      <c r="J52" s="116"/>
      <c r="K52" s="116"/>
      <c r="L52" s="116"/>
    </row>
    <row r="53" spans="1:12" hidden="1" x14ac:dyDescent="0.2">
      <c r="A53" s="116"/>
      <c r="B53" s="116"/>
      <c r="C53" s="127"/>
      <c r="D53" s="128"/>
      <c r="E53" s="128"/>
      <c r="F53" s="128"/>
      <c r="G53" s="128"/>
      <c r="H53" s="118"/>
      <c r="I53" s="116"/>
      <c r="J53" s="116"/>
      <c r="K53" s="116"/>
      <c r="L53" s="116"/>
    </row>
    <row r="54" spans="1:12" hidden="1" x14ac:dyDescent="0.2">
      <c r="A54" s="116"/>
      <c r="B54" s="116"/>
      <c r="C54" s="127"/>
      <c r="D54" s="128"/>
      <c r="E54" s="128"/>
      <c r="F54" s="128"/>
      <c r="G54" s="128"/>
      <c r="H54" s="118"/>
      <c r="I54" s="116"/>
      <c r="J54" s="116"/>
      <c r="K54" s="116"/>
      <c r="L54" s="116"/>
    </row>
    <row r="55" spans="1:12" hidden="1" x14ac:dyDescent="0.2">
      <c r="A55" s="116"/>
      <c r="B55" s="116"/>
      <c r="C55" s="127"/>
      <c r="D55" s="128"/>
      <c r="E55" s="128"/>
      <c r="F55" s="128"/>
      <c r="G55" s="128"/>
      <c r="H55" s="118"/>
      <c r="I55" s="116"/>
      <c r="J55" s="116"/>
      <c r="K55" s="116"/>
      <c r="L55" s="116"/>
    </row>
    <row r="56" spans="1:12" hidden="1" x14ac:dyDescent="0.2">
      <c r="A56" s="116"/>
      <c r="B56" s="116"/>
      <c r="C56" s="127"/>
      <c r="D56" s="128"/>
      <c r="E56" s="128"/>
      <c r="F56" s="128"/>
      <c r="G56" s="128"/>
      <c r="H56" s="118"/>
      <c r="I56" s="116"/>
      <c r="J56" s="116"/>
      <c r="K56" s="116"/>
      <c r="L56" s="116"/>
    </row>
    <row r="57" spans="1:12" hidden="1" x14ac:dyDescent="0.2">
      <c r="A57" s="116"/>
      <c r="B57" s="116"/>
      <c r="C57" s="127"/>
      <c r="D57" s="128"/>
      <c r="E57" s="128"/>
      <c r="F57" s="128"/>
      <c r="G57" s="128"/>
      <c r="H57" s="118"/>
      <c r="I57" s="116"/>
      <c r="J57" s="116"/>
      <c r="K57" s="116"/>
      <c r="L57" s="116"/>
    </row>
    <row r="58" spans="1:12" hidden="1" x14ac:dyDescent="0.2">
      <c r="A58" s="116"/>
      <c r="B58" s="116"/>
      <c r="C58" s="127"/>
      <c r="D58" s="128"/>
      <c r="E58" s="128"/>
      <c r="F58" s="128"/>
      <c r="G58" s="128"/>
      <c r="H58" s="136"/>
      <c r="I58" s="116"/>
      <c r="J58" s="116"/>
      <c r="K58" s="116"/>
      <c r="L58" s="116"/>
    </row>
    <row r="59" spans="1:12" hidden="1" x14ac:dyDescent="0.2">
      <c r="A59" s="116"/>
      <c r="B59" s="116"/>
      <c r="C59" s="116"/>
      <c r="D59" s="117"/>
      <c r="E59" s="117"/>
      <c r="F59" s="117"/>
      <c r="G59" s="136"/>
      <c r="H59" s="136"/>
      <c r="I59" s="116"/>
      <c r="J59" s="116"/>
      <c r="K59" s="116"/>
      <c r="L59" s="116"/>
    </row>
    <row r="60" spans="1:12" hidden="1" x14ac:dyDescent="0.2">
      <c r="A60" s="116"/>
      <c r="B60" s="116"/>
      <c r="C60" s="116"/>
      <c r="D60" s="117"/>
      <c r="E60" s="117"/>
      <c r="F60" s="117"/>
      <c r="G60" s="136"/>
      <c r="H60" s="136"/>
      <c r="I60" s="116"/>
      <c r="J60" s="116"/>
      <c r="K60" s="116"/>
      <c r="L60" s="116"/>
    </row>
    <row r="61" spans="1:12" hidden="1" x14ac:dyDescent="0.2">
      <c r="A61" s="116"/>
      <c r="B61" s="116"/>
      <c r="K61" s="116"/>
    </row>
    <row r="62" spans="1:12" hidden="1" x14ac:dyDescent="0.2">
      <c r="A62" s="116"/>
      <c r="B62" s="116"/>
      <c r="K62" s="116"/>
    </row>
    <row r="63" spans="1:12" hidden="1" x14ac:dyDescent="0.2">
      <c r="A63" s="116"/>
      <c r="B63" s="116"/>
      <c r="K63" s="116"/>
    </row>
    <row r="64" spans="1:12" hidden="1" x14ac:dyDescent="0.2">
      <c r="A64" s="116"/>
      <c r="B64" s="116"/>
      <c r="K64" s="116"/>
    </row>
    <row r="65" spans="1:11" hidden="1" x14ac:dyDescent="0.2">
      <c r="A65" s="116"/>
      <c r="B65" s="116"/>
      <c r="K65" s="116"/>
    </row>
    <row r="66" spans="1:11" hidden="1" x14ac:dyDescent="0.2">
      <c r="A66" s="116"/>
      <c r="B66" s="116"/>
      <c r="K66" s="116"/>
    </row>
    <row r="67" spans="1:11" hidden="1" x14ac:dyDescent="0.2">
      <c r="A67" s="116"/>
      <c r="B67" s="116"/>
      <c r="K67" s="116"/>
    </row>
    <row r="68" spans="1:11" hidden="1" x14ac:dyDescent="0.2">
      <c r="A68" s="116"/>
      <c r="B68" s="116"/>
      <c r="K68" s="116"/>
    </row>
    <row r="69" spans="1:11" hidden="1" x14ac:dyDescent="0.2">
      <c r="A69" s="116"/>
      <c r="B69" s="116"/>
      <c r="K69" s="116"/>
    </row>
    <row r="70" spans="1:11" hidden="1" x14ac:dyDescent="0.2">
      <c r="A70" s="116"/>
      <c r="B70" s="116"/>
      <c r="K70" s="116"/>
    </row>
    <row r="71" spans="1:11" hidden="1" x14ac:dyDescent="0.2">
      <c r="A71" s="116"/>
      <c r="B71" s="116"/>
      <c r="K71" s="116"/>
    </row>
    <row r="72" spans="1:11" hidden="1" x14ac:dyDescent="0.2">
      <c r="A72" s="116"/>
      <c r="B72" s="116"/>
      <c r="K72" s="116"/>
    </row>
    <row r="73" spans="1:11" hidden="1" x14ac:dyDescent="0.2">
      <c r="A73" s="116"/>
      <c r="B73" s="116"/>
      <c r="K73" s="116"/>
    </row>
    <row r="74" spans="1:11" hidden="1" x14ac:dyDescent="0.2">
      <c r="A74" s="116"/>
      <c r="B74" s="116"/>
      <c r="K74" s="116"/>
    </row>
    <row r="75" spans="1:11" hidden="1" x14ac:dyDescent="0.2">
      <c r="A75" s="116"/>
      <c r="B75" s="116"/>
    </row>
    <row r="76" spans="1:11" hidden="1" x14ac:dyDescent="0.2">
      <c r="A76" s="116"/>
      <c r="B76" s="116"/>
    </row>
    <row r="77" spans="1:11" x14ac:dyDescent="0.2"/>
    <row r="78" spans="1:11" x14ac:dyDescent="0.2"/>
    <row r="79" spans="1:11" x14ac:dyDescent="0.2"/>
    <row r="80" spans="1:11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</sheetData>
  <mergeCells count="28">
    <mergeCell ref="D46:E46"/>
    <mergeCell ref="F46:G46"/>
    <mergeCell ref="C28:H28"/>
    <mergeCell ref="C29:H29"/>
    <mergeCell ref="D47:E47"/>
    <mergeCell ref="F47:G47"/>
    <mergeCell ref="B2:K3"/>
    <mergeCell ref="D45:E45"/>
    <mergeCell ref="F45:G45"/>
    <mergeCell ref="C34:H34"/>
    <mergeCell ref="C15:H15"/>
    <mergeCell ref="C38:H38"/>
    <mergeCell ref="C44:H44"/>
    <mergeCell ref="C8:H8"/>
    <mergeCell ref="B32:K33"/>
    <mergeCell ref="B42:K43"/>
    <mergeCell ref="D50:E50"/>
    <mergeCell ref="F50:G50"/>
    <mergeCell ref="D48:E48"/>
    <mergeCell ref="F48:G48"/>
    <mergeCell ref="D49:E49"/>
    <mergeCell ref="F49:G49"/>
    <mergeCell ref="C10:H10"/>
    <mergeCell ref="C16:H16"/>
    <mergeCell ref="C4:H4"/>
    <mergeCell ref="C39:H39"/>
    <mergeCell ref="C9:H9"/>
    <mergeCell ref="C14:H14"/>
  </mergeCells>
  <pageMargins left="0.19685039370078741" right="0.19685039370078741" top="0.19685039370078741" bottom="0.19685039370078741" header="0.31496062992125984" footer="0.3149606299212598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0832A-DB54-42F2-B7B1-87141C639CEC}">
  <dimension ref="A1:IU54"/>
  <sheetViews>
    <sheetView tabSelected="1" view="pageBreakPreview" topLeftCell="A18" zoomScale="120" zoomScaleNormal="120" zoomScaleSheetLayoutView="120" workbookViewId="0">
      <selection activeCell="H18" sqref="H18:I18"/>
    </sheetView>
  </sheetViews>
  <sheetFormatPr defaultColWidth="9.28515625" defaultRowHeight="12" x14ac:dyDescent="0.2"/>
  <cols>
    <col min="1" max="1" width="10.7109375" style="1" customWidth="1"/>
    <col min="2" max="2" width="8.85546875" style="1" customWidth="1"/>
    <col min="3" max="4" width="25.7109375" style="1" customWidth="1"/>
    <col min="5" max="5" width="12.42578125" style="1" customWidth="1"/>
    <col min="6" max="6" width="11.28515625" style="1" customWidth="1"/>
    <col min="7" max="7" width="9.7109375" style="1" customWidth="1"/>
    <col min="8" max="8" width="11.28515625" style="1" customWidth="1"/>
    <col min="9" max="9" width="16.7109375" style="2" customWidth="1"/>
    <col min="10" max="10" width="13.140625" style="1" bestFit="1" customWidth="1"/>
    <col min="11" max="11" width="11.28515625" style="1" customWidth="1"/>
    <col min="12" max="12" width="7.42578125" style="1" customWidth="1"/>
    <col min="13" max="13" width="6.5703125" style="1" customWidth="1"/>
    <col min="14" max="15" width="9.28515625" style="1" customWidth="1"/>
    <col min="16" max="16384" width="9.28515625" style="1"/>
  </cols>
  <sheetData>
    <row r="1" spans="1:13" x14ac:dyDescent="0.2">
      <c r="A1" s="97"/>
      <c r="B1" s="97"/>
      <c r="C1" s="97"/>
      <c r="D1" s="97"/>
      <c r="E1" s="97"/>
      <c r="F1" s="97"/>
      <c r="G1" s="97"/>
      <c r="H1" s="97"/>
      <c r="I1" s="100"/>
    </row>
    <row r="2" spans="1:13" ht="32.65" customHeight="1" x14ac:dyDescent="0.2">
      <c r="A2" s="326" t="s">
        <v>188</v>
      </c>
      <c r="B2" s="326"/>
      <c r="C2" s="326"/>
      <c r="D2" s="326"/>
      <c r="E2" s="326"/>
      <c r="F2" s="326"/>
      <c r="G2" s="326"/>
      <c r="H2" s="326"/>
      <c r="I2" s="326"/>
    </row>
    <row r="3" spans="1:13" ht="63" customHeight="1" x14ac:dyDescent="0.2">
      <c r="A3" s="327" t="s">
        <v>256</v>
      </c>
      <c r="B3" s="327"/>
      <c r="C3" s="327"/>
      <c r="D3" s="327"/>
      <c r="E3" s="327"/>
      <c r="F3" s="327"/>
      <c r="G3" s="327"/>
      <c r="H3" s="327"/>
      <c r="I3" s="327"/>
    </row>
    <row r="4" spans="1:13" ht="15.75" customHeight="1" x14ac:dyDescent="0.2">
      <c r="A4" s="244" t="s">
        <v>10</v>
      </c>
      <c r="B4" s="244"/>
      <c r="C4" s="244"/>
      <c r="D4" s="244"/>
      <c r="E4" s="244"/>
      <c r="F4" s="318"/>
      <c r="G4" s="318"/>
      <c r="H4" s="318"/>
      <c r="I4" s="318"/>
    </row>
    <row r="5" spans="1:13" ht="15.75" customHeight="1" x14ac:dyDescent="0.2">
      <c r="A5" s="244" t="s">
        <v>11</v>
      </c>
      <c r="B5" s="244"/>
      <c r="C5" s="244"/>
      <c r="D5" s="244"/>
      <c r="E5" s="244"/>
      <c r="F5" s="318"/>
      <c r="G5" s="318"/>
      <c r="H5" s="318"/>
      <c r="I5" s="318"/>
    </row>
    <row r="6" spans="1:13" ht="14.85" customHeight="1" x14ac:dyDescent="0.2">
      <c r="A6" s="324" t="s">
        <v>180</v>
      </c>
      <c r="B6" s="325"/>
      <c r="C6" s="325"/>
      <c r="D6" s="325"/>
      <c r="E6" s="325"/>
      <c r="F6" s="318"/>
      <c r="G6" s="318"/>
      <c r="H6" s="318"/>
      <c r="I6" s="318"/>
    </row>
    <row r="7" spans="1:13" ht="20.25" customHeight="1" x14ac:dyDescent="0.2">
      <c r="A7" s="224" t="s">
        <v>12</v>
      </c>
      <c r="B7" s="224"/>
      <c r="C7" s="224"/>
      <c r="D7" s="224"/>
      <c r="E7" s="224"/>
      <c r="F7" s="224"/>
      <c r="G7" s="224"/>
      <c r="H7" s="224"/>
      <c r="I7" s="224"/>
    </row>
    <row r="8" spans="1:13" ht="19.5" customHeight="1" x14ac:dyDescent="0.2">
      <c r="A8" s="3" t="s">
        <v>13</v>
      </c>
      <c r="B8" s="244" t="s">
        <v>14</v>
      </c>
      <c r="C8" s="244"/>
      <c r="D8" s="244"/>
      <c r="E8" s="244"/>
      <c r="F8" s="244"/>
      <c r="G8" s="244"/>
      <c r="H8" s="323"/>
      <c r="I8" s="323"/>
    </row>
    <row r="9" spans="1:13" ht="19.5" customHeight="1" x14ac:dyDescent="0.2">
      <c r="A9" s="3" t="s">
        <v>15</v>
      </c>
      <c r="B9" s="244" t="s">
        <v>16</v>
      </c>
      <c r="C9" s="244"/>
      <c r="D9" s="244"/>
      <c r="E9" s="244"/>
      <c r="F9" s="244"/>
      <c r="G9" s="244"/>
      <c r="H9" s="318" t="s">
        <v>181</v>
      </c>
      <c r="I9" s="318"/>
    </row>
    <row r="10" spans="1:13" ht="19.5" customHeight="1" x14ac:dyDescent="0.2">
      <c r="A10" s="3" t="s">
        <v>17</v>
      </c>
      <c r="B10" s="244" t="s">
        <v>18</v>
      </c>
      <c r="C10" s="244"/>
      <c r="D10" s="244"/>
      <c r="E10" s="244"/>
      <c r="F10" s="244"/>
      <c r="G10" s="244"/>
      <c r="H10" s="318" t="s">
        <v>235</v>
      </c>
      <c r="I10" s="318"/>
    </row>
    <row r="11" spans="1:13" ht="19.5" customHeight="1" x14ac:dyDescent="0.2">
      <c r="A11" s="3" t="s">
        <v>19</v>
      </c>
      <c r="B11" s="244" t="s">
        <v>174</v>
      </c>
      <c r="C11" s="244"/>
      <c r="D11" s="244"/>
      <c r="E11" s="244"/>
      <c r="F11" s="244"/>
      <c r="G11" s="244"/>
      <c r="H11" s="331">
        <v>60</v>
      </c>
      <c r="I11" s="331"/>
      <c r="K11" s="4"/>
    </row>
    <row r="12" spans="1:13" ht="21.4" customHeight="1" x14ac:dyDescent="0.2">
      <c r="A12" s="320" t="s">
        <v>20</v>
      </c>
      <c r="B12" s="320"/>
      <c r="C12" s="320"/>
      <c r="D12" s="320"/>
      <c r="E12" s="320"/>
      <c r="F12" s="320"/>
      <c r="G12" s="320"/>
      <c r="H12" s="320"/>
      <c r="I12" s="320"/>
    </row>
    <row r="13" spans="1:13" ht="36.75" customHeight="1" x14ac:dyDescent="0.2">
      <c r="A13" s="347" t="s">
        <v>125</v>
      </c>
      <c r="B13" s="347"/>
      <c r="C13" s="347"/>
      <c r="D13" s="347"/>
      <c r="E13" s="347"/>
      <c r="F13" s="347"/>
      <c r="G13" s="347"/>
      <c r="H13" s="347"/>
      <c r="I13" s="347"/>
    </row>
    <row r="14" spans="1:13" ht="7.5" customHeight="1" x14ac:dyDescent="0.2">
      <c r="A14" s="348"/>
      <c r="B14" s="348"/>
      <c r="C14" s="348"/>
      <c r="D14" s="348"/>
      <c r="E14" s="348"/>
      <c r="F14" s="348"/>
      <c r="G14" s="348"/>
      <c r="H14" s="348"/>
      <c r="I14" s="348"/>
    </row>
    <row r="15" spans="1:13" ht="15" hidden="1" customHeight="1" x14ac:dyDescent="0.2">
      <c r="A15" s="84"/>
      <c r="B15" s="84"/>
      <c r="C15" s="84"/>
      <c r="D15" s="84"/>
      <c r="E15" s="84"/>
      <c r="F15" s="84"/>
      <c r="G15" s="84"/>
      <c r="H15" s="85"/>
      <c r="I15" s="86"/>
      <c r="J15" s="80"/>
      <c r="K15" s="81"/>
      <c r="L15" s="82"/>
      <c r="M15" s="83"/>
    </row>
    <row r="16" spans="1:13" ht="31.5" customHeight="1" x14ac:dyDescent="0.2">
      <c r="A16" s="349" t="s">
        <v>126</v>
      </c>
      <c r="B16" s="349"/>
      <c r="C16" s="349"/>
      <c r="D16" s="349"/>
      <c r="E16" s="349"/>
      <c r="F16" s="349"/>
      <c r="G16" s="349"/>
      <c r="H16" s="349"/>
      <c r="I16" s="349"/>
    </row>
    <row r="17" spans="1:255" ht="45" customHeight="1" thickBot="1" x14ac:dyDescent="0.25">
      <c r="A17" s="350" t="s">
        <v>127</v>
      </c>
      <c r="B17" s="350"/>
      <c r="C17" s="350"/>
      <c r="D17" s="350"/>
      <c r="E17" s="350" t="s">
        <v>128</v>
      </c>
      <c r="F17" s="350"/>
      <c r="G17" s="192" t="s">
        <v>129</v>
      </c>
      <c r="H17" s="350" t="s">
        <v>130</v>
      </c>
      <c r="I17" s="350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</row>
    <row r="18" spans="1:255" ht="39.75" customHeight="1" thickTop="1" x14ac:dyDescent="0.2">
      <c r="A18" s="354" t="s">
        <v>252</v>
      </c>
      <c r="B18" s="195" t="s">
        <v>253</v>
      </c>
      <c r="C18" s="360" t="s">
        <v>223</v>
      </c>
      <c r="D18" s="361"/>
      <c r="E18" s="351">
        <f>'ASP 44H - NOTURNO (44H)'!I179</f>
        <v>4901.41</v>
      </c>
      <c r="F18" s="351"/>
      <c r="G18" s="193">
        <v>2</v>
      </c>
      <c r="H18" s="352">
        <f>E18*G18</f>
        <v>9802.82</v>
      </c>
      <c r="I18" s="353"/>
      <c r="J18" s="191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</row>
    <row r="19" spans="1:255" ht="41.25" customHeight="1" thickBot="1" x14ac:dyDescent="0.25">
      <c r="A19" s="355"/>
      <c r="B19" s="196" t="s">
        <v>254</v>
      </c>
      <c r="C19" s="362" t="s">
        <v>187</v>
      </c>
      <c r="D19" s="363"/>
      <c r="E19" s="356">
        <f>'ASP 44H - DIURNO (44H)'!I179</f>
        <v>4740.0200000000004</v>
      </c>
      <c r="F19" s="356"/>
      <c r="G19" s="194">
        <v>2</v>
      </c>
      <c r="H19" s="356">
        <f>E19*G19</f>
        <v>9480.0400000000009</v>
      </c>
      <c r="I19" s="357"/>
      <c r="J19" s="191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</row>
    <row r="20" spans="1:255" ht="12.75" thickTop="1" x14ac:dyDescent="0.2"/>
    <row r="21" spans="1:255" ht="20.25" customHeight="1" x14ac:dyDescent="0.2">
      <c r="A21" s="364" t="s">
        <v>131</v>
      </c>
      <c r="B21" s="365"/>
      <c r="C21" s="365"/>
      <c r="D21" s="365"/>
      <c r="E21" s="365"/>
      <c r="F21" s="365"/>
      <c r="G21" s="366"/>
      <c r="H21" s="358">
        <f>H19+H18</f>
        <v>19282.86</v>
      </c>
      <c r="I21" s="358"/>
      <c r="J21"/>
      <c r="K21" s="186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</row>
    <row r="22" spans="1:255" ht="6.75" customHeight="1" x14ac:dyDescent="0.2">
      <c r="A22" s="359"/>
      <c r="B22" s="359"/>
      <c r="C22" s="359"/>
      <c r="D22" s="359"/>
      <c r="E22" s="359"/>
      <c r="F22" s="359"/>
      <c r="G22" s="359"/>
      <c r="H22" s="359"/>
      <c r="I22" s="359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</row>
    <row r="23" spans="1:255" ht="17.25" customHeight="1" x14ac:dyDescent="0.2">
      <c r="A23" s="214" t="s">
        <v>132</v>
      </c>
      <c r="B23" s="214"/>
      <c r="C23" s="214"/>
      <c r="D23" s="214"/>
      <c r="E23" s="214"/>
      <c r="F23" s="214"/>
      <c r="G23" s="214"/>
      <c r="H23" s="214"/>
      <c r="I23" s="214"/>
      <c r="J23"/>
      <c r="K23" s="186"/>
      <c r="L23" s="187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</row>
    <row r="24" spans="1:255" ht="6.75" customHeight="1" x14ac:dyDescent="0.2">
      <c r="A24" s="215"/>
      <c r="B24" s="215"/>
      <c r="C24" s="215"/>
      <c r="D24" s="215"/>
      <c r="E24" s="215"/>
      <c r="F24" s="215"/>
      <c r="G24" s="215"/>
      <c r="H24" s="215"/>
      <c r="I24" s="215"/>
    </row>
    <row r="25" spans="1:255" ht="18.75" customHeight="1" x14ac:dyDescent="0.2">
      <c r="A25" s="369" t="s">
        <v>133</v>
      </c>
      <c r="B25" s="370"/>
      <c r="C25" s="370"/>
      <c r="D25" s="370"/>
      <c r="E25" s="370"/>
      <c r="F25" s="370"/>
      <c r="G25" s="371"/>
      <c r="H25" s="367">
        <f>$H$21</f>
        <v>19282.86</v>
      </c>
      <c r="I25" s="368"/>
      <c r="K25" s="137"/>
    </row>
    <row r="26" spans="1:255" ht="8.25" customHeight="1" x14ac:dyDescent="0.25">
      <c r="A26" s="218"/>
      <c r="B26" s="218"/>
      <c r="C26" s="218"/>
      <c r="D26" s="218"/>
      <c r="E26" s="218"/>
      <c r="F26" s="218"/>
      <c r="G26" s="218"/>
      <c r="H26" s="218"/>
      <c r="I26" s="218"/>
    </row>
    <row r="27" spans="1:255" ht="19.5" customHeight="1" x14ac:dyDescent="0.2">
      <c r="A27" s="376" t="s">
        <v>134</v>
      </c>
      <c r="B27" s="377"/>
      <c r="C27" s="377"/>
      <c r="D27" s="377"/>
      <c r="E27" s="377"/>
      <c r="F27" s="377"/>
      <c r="G27" s="378"/>
      <c r="H27" s="372">
        <f>$H$11</f>
        <v>60</v>
      </c>
      <c r="I27" s="373"/>
      <c r="K27" s="190"/>
    </row>
    <row r="28" spans="1:255" ht="8.25" customHeight="1" x14ac:dyDescent="0.2">
      <c r="A28" s="209"/>
      <c r="B28" s="209"/>
      <c r="C28" s="209"/>
      <c r="D28" s="209"/>
      <c r="E28" s="209"/>
      <c r="F28" s="209"/>
      <c r="G28" s="209"/>
      <c r="H28" s="209"/>
      <c r="I28" s="209"/>
    </row>
    <row r="29" spans="1:255" ht="31.5" customHeight="1" x14ac:dyDescent="0.2">
      <c r="A29" s="376" t="s">
        <v>135</v>
      </c>
      <c r="B29" s="377"/>
      <c r="C29" s="377"/>
      <c r="D29" s="377"/>
      <c r="E29" s="377"/>
      <c r="F29" s="377"/>
      <c r="G29" s="378"/>
      <c r="H29" s="374">
        <f>ROUND(H25*H27,2)</f>
        <v>1156971.6000000001</v>
      </c>
      <c r="I29" s="375"/>
    </row>
    <row r="30" spans="1:255" ht="8.25" customHeight="1" x14ac:dyDescent="0.2">
      <c r="A30" s="212"/>
      <c r="B30" s="212"/>
      <c r="C30" s="212"/>
      <c r="D30" s="212"/>
      <c r="E30" s="212"/>
      <c r="F30" s="212"/>
      <c r="G30" s="212"/>
      <c r="H30" s="212"/>
      <c r="I30" s="212"/>
    </row>
    <row r="31" spans="1:255" ht="29.25" customHeight="1" x14ac:dyDescent="0.2">
      <c r="A31" s="387" t="s">
        <v>186</v>
      </c>
      <c r="B31" s="387"/>
      <c r="C31" s="387"/>
      <c r="D31" s="387"/>
      <c r="E31" s="387"/>
      <c r="F31" s="387"/>
      <c r="G31" s="387"/>
      <c r="H31" s="387"/>
      <c r="I31" s="387"/>
    </row>
    <row r="32" spans="1:255" ht="12" customHeight="1" x14ac:dyDescent="0.2">
      <c r="A32" s="205" t="s">
        <v>136</v>
      </c>
      <c r="B32" s="205"/>
      <c r="C32" s="205"/>
      <c r="D32" s="201" t="s">
        <v>137</v>
      </c>
      <c r="E32" s="201"/>
      <c r="F32" s="201"/>
      <c r="G32" s="201"/>
      <c r="H32" s="201"/>
      <c r="I32" s="201"/>
    </row>
    <row r="33" spans="1:9" x14ac:dyDescent="0.2">
      <c r="A33" s="205"/>
      <c r="B33" s="205"/>
      <c r="C33" s="205"/>
      <c r="D33" s="201"/>
      <c r="E33" s="201"/>
      <c r="F33" s="201"/>
      <c r="G33" s="201"/>
      <c r="H33" s="201"/>
      <c r="I33" s="201"/>
    </row>
    <row r="34" spans="1:9" ht="12.75" customHeight="1" x14ac:dyDescent="0.2">
      <c r="A34" s="382" t="s">
        <v>225</v>
      </c>
      <c r="B34" s="382"/>
      <c r="C34" s="382"/>
      <c r="D34" s="383">
        <v>2</v>
      </c>
      <c r="E34" s="383"/>
      <c r="F34" s="383"/>
      <c r="G34" s="383"/>
      <c r="H34" s="383"/>
      <c r="I34" s="383"/>
    </row>
    <row r="35" spans="1:9" ht="12.75" customHeight="1" x14ac:dyDescent="0.2">
      <c r="A35" s="382" t="s">
        <v>226</v>
      </c>
      <c r="B35" s="382"/>
      <c r="C35" s="382"/>
      <c r="D35" s="383">
        <v>2</v>
      </c>
      <c r="E35" s="383"/>
      <c r="F35" s="383"/>
      <c r="G35" s="383"/>
      <c r="H35" s="383"/>
      <c r="I35" s="383"/>
    </row>
    <row r="36" spans="1:9" ht="12.75" customHeight="1" x14ac:dyDescent="0.2">
      <c r="A36" s="384" t="s">
        <v>81</v>
      </c>
      <c r="B36" s="385"/>
      <c r="C36" s="385"/>
      <c r="D36" s="384">
        <f>SUM(D34:I35)</f>
        <v>4</v>
      </c>
      <c r="E36" s="385"/>
      <c r="F36" s="385"/>
      <c r="G36" s="385"/>
      <c r="H36" s="385"/>
      <c r="I36" s="386"/>
    </row>
    <row r="37" spans="1:9" ht="8.25" customHeight="1" x14ac:dyDescent="0.2">
      <c r="A37" s="212"/>
      <c r="B37" s="212"/>
      <c r="C37" s="212"/>
      <c r="D37" s="212"/>
      <c r="E37" s="212"/>
      <c r="F37" s="212"/>
      <c r="G37" s="212"/>
      <c r="H37" s="212"/>
      <c r="I37" s="212"/>
    </row>
    <row r="38" spans="1:9" x14ac:dyDescent="0.2">
      <c r="A38" s="97"/>
      <c r="B38" s="97"/>
      <c r="C38" s="97"/>
      <c r="D38" s="97"/>
      <c r="E38" s="97"/>
      <c r="F38" s="97"/>
      <c r="G38" s="97"/>
      <c r="H38" s="97"/>
      <c r="I38" s="100"/>
    </row>
    <row r="39" spans="1:9" ht="15" customHeight="1" x14ac:dyDescent="0.2">
      <c r="A39" s="180" t="s">
        <v>214</v>
      </c>
      <c r="B39" s="180"/>
      <c r="C39" s="180"/>
      <c r="D39" s="180"/>
      <c r="E39" s="180"/>
      <c r="F39" s="180"/>
      <c r="G39" s="180"/>
      <c r="H39" s="180"/>
      <c r="I39" s="181"/>
    </row>
    <row r="40" spans="1:9" ht="15" customHeight="1" x14ac:dyDescent="0.2">
      <c r="A40" s="182" t="s">
        <v>215</v>
      </c>
      <c r="B40" s="182"/>
      <c r="C40" s="182"/>
      <c r="D40" s="182"/>
      <c r="E40" s="182"/>
      <c r="F40" s="182"/>
      <c r="G40" s="182"/>
      <c r="H40" s="182"/>
      <c r="I40" s="183"/>
    </row>
    <row r="41" spans="1:9" ht="15" customHeight="1" x14ac:dyDescent="0.2">
      <c r="A41" s="182" t="s">
        <v>216</v>
      </c>
      <c r="B41" s="182"/>
      <c r="C41" s="182"/>
      <c r="D41" s="182"/>
      <c r="E41" s="182"/>
      <c r="F41" s="182"/>
      <c r="G41" s="182"/>
      <c r="H41" s="182"/>
      <c r="I41" s="183"/>
    </row>
    <row r="42" spans="1:9" ht="15" customHeight="1" x14ac:dyDescent="0.2">
      <c r="A42" s="182" t="s">
        <v>217</v>
      </c>
      <c r="B42" s="182"/>
      <c r="C42" s="182"/>
      <c r="D42" s="182"/>
      <c r="E42" s="182"/>
      <c r="F42" s="182"/>
      <c r="G42" s="182"/>
      <c r="H42" s="182"/>
      <c r="I42" s="183"/>
    </row>
    <row r="43" spans="1:9" ht="15" customHeight="1" x14ac:dyDescent="0.2">
      <c r="A43" s="182" t="s">
        <v>218</v>
      </c>
      <c r="B43" s="182"/>
      <c r="C43" s="182"/>
      <c r="D43" s="182"/>
      <c r="E43" s="182"/>
      <c r="F43" s="182"/>
      <c r="G43" s="182"/>
      <c r="H43" s="182"/>
      <c r="I43" s="183"/>
    </row>
    <row r="44" spans="1:9" ht="15" customHeight="1" x14ac:dyDescent="0.2">
      <c r="A44" s="182" t="s">
        <v>219</v>
      </c>
      <c r="B44" s="182"/>
      <c r="C44" s="182"/>
      <c r="D44" s="182"/>
      <c r="E44" s="182"/>
      <c r="F44" s="182"/>
      <c r="G44" s="182"/>
      <c r="H44" s="182"/>
      <c r="I44" s="183"/>
    </row>
    <row r="45" spans="1:9" ht="15" customHeight="1" x14ac:dyDescent="0.2">
      <c r="A45" s="182" t="s">
        <v>220</v>
      </c>
      <c r="B45" s="182"/>
      <c r="C45" s="182"/>
      <c r="D45" s="182"/>
      <c r="E45" s="182"/>
      <c r="F45" s="182"/>
      <c r="G45" s="182"/>
      <c r="H45" s="182"/>
      <c r="I45" s="183"/>
    </row>
    <row r="46" spans="1:9" ht="15" customHeight="1" x14ac:dyDescent="0.2">
      <c r="A46" s="379" t="s">
        <v>221</v>
      </c>
      <c r="B46" s="379"/>
      <c r="C46" s="379"/>
      <c r="D46" s="379"/>
      <c r="E46" s="379"/>
      <c r="F46" s="379"/>
      <c r="G46" s="379"/>
      <c r="H46" s="379"/>
      <c r="I46" s="379"/>
    </row>
    <row r="47" spans="1:9" ht="15" customHeight="1" x14ac:dyDescent="0.2">
      <c r="A47" s="379"/>
      <c r="B47" s="379"/>
      <c r="C47" s="379"/>
      <c r="D47" s="379"/>
      <c r="E47" s="379"/>
      <c r="F47" s="379"/>
      <c r="G47" s="379"/>
      <c r="H47" s="379"/>
      <c r="I47" s="379"/>
    </row>
    <row r="48" spans="1:9" ht="15" customHeight="1" x14ac:dyDescent="0.2">
      <c r="A48" s="379"/>
      <c r="B48" s="379"/>
      <c r="C48" s="379"/>
      <c r="D48" s="379"/>
      <c r="E48" s="379"/>
      <c r="F48" s="379"/>
      <c r="G48" s="379"/>
      <c r="H48" s="379"/>
      <c r="I48" s="379"/>
    </row>
    <row r="49" spans="1:9" ht="15" customHeight="1" x14ac:dyDescent="0.2">
      <c r="A49" s="380" t="s">
        <v>231</v>
      </c>
      <c r="B49" s="380"/>
      <c r="C49" s="380"/>
      <c r="D49" s="380"/>
      <c r="E49" s="380"/>
      <c r="F49" s="380"/>
      <c r="G49" s="380"/>
      <c r="H49" s="380"/>
      <c r="I49" s="380"/>
    </row>
    <row r="50" spans="1:9" ht="15" customHeight="1" x14ac:dyDescent="0.2">
      <c r="A50" s="179"/>
      <c r="B50" s="179"/>
      <c r="C50" s="179"/>
      <c r="D50" s="179"/>
      <c r="E50" s="179"/>
      <c r="F50" s="179"/>
      <c r="G50" s="179"/>
      <c r="H50" s="179"/>
      <c r="I50" s="179"/>
    </row>
    <row r="51" spans="1:9" ht="15" customHeight="1" x14ac:dyDescent="0.2">
      <c r="A51" s="178"/>
      <c r="B51" s="178"/>
      <c r="C51" s="178"/>
      <c r="D51" s="178"/>
      <c r="E51" s="178"/>
      <c r="F51" s="178"/>
      <c r="G51" s="97"/>
      <c r="H51" s="97"/>
      <c r="I51" s="100"/>
    </row>
    <row r="52" spans="1:9" ht="15" customHeight="1" x14ac:dyDescent="0.2">
      <c r="A52" s="178"/>
      <c r="B52" s="178"/>
      <c r="C52" s="184"/>
      <c r="D52" s="184"/>
      <c r="E52" s="184"/>
      <c r="F52" s="184"/>
      <c r="G52" s="185"/>
      <c r="H52" s="97"/>
      <c r="I52" s="100"/>
    </row>
    <row r="53" spans="1:9" ht="15" customHeight="1" x14ac:dyDescent="0.2">
      <c r="A53" s="99"/>
      <c r="B53" s="99"/>
      <c r="C53" s="381" t="s">
        <v>222</v>
      </c>
      <c r="D53" s="381"/>
      <c r="E53" s="381"/>
      <c r="F53" s="381"/>
      <c r="G53" s="381"/>
      <c r="H53" s="97"/>
      <c r="I53" s="100"/>
    </row>
    <row r="54" spans="1:9" x14ac:dyDescent="0.2">
      <c r="A54" s="97"/>
      <c r="B54" s="97"/>
      <c r="C54" s="97"/>
      <c r="D54" s="97"/>
      <c r="E54" s="97"/>
      <c r="F54" s="97"/>
      <c r="G54" s="97"/>
      <c r="H54" s="97"/>
      <c r="I54" s="100"/>
    </row>
  </sheetData>
  <mergeCells count="58">
    <mergeCell ref="A30:I30"/>
    <mergeCell ref="A46:I48"/>
    <mergeCell ref="A49:I49"/>
    <mergeCell ref="C53:G53"/>
    <mergeCell ref="A35:C35"/>
    <mergeCell ref="D35:I35"/>
    <mergeCell ref="A34:C34"/>
    <mergeCell ref="D34:I34"/>
    <mergeCell ref="A36:C36"/>
    <mergeCell ref="D36:I36"/>
    <mergeCell ref="A37:I37"/>
    <mergeCell ref="A31:I31"/>
    <mergeCell ref="A32:C33"/>
    <mergeCell ref="D32:I33"/>
    <mergeCell ref="A28:I28"/>
    <mergeCell ref="H27:I27"/>
    <mergeCell ref="H29:I29"/>
    <mergeCell ref="A27:G27"/>
    <mergeCell ref="A29:G29"/>
    <mergeCell ref="A24:I24"/>
    <mergeCell ref="A21:G21"/>
    <mergeCell ref="H25:I25"/>
    <mergeCell ref="A25:G25"/>
    <mergeCell ref="A26:I26"/>
    <mergeCell ref="A22:I22"/>
    <mergeCell ref="C18:D18"/>
    <mergeCell ref="C19:D19"/>
    <mergeCell ref="E19:F19"/>
    <mergeCell ref="A23:I23"/>
    <mergeCell ref="E18:F18"/>
    <mergeCell ref="H18:I18"/>
    <mergeCell ref="A18:A19"/>
    <mergeCell ref="H19:I19"/>
    <mergeCell ref="H21:I21"/>
    <mergeCell ref="A13:I13"/>
    <mergeCell ref="A14:I14"/>
    <mergeCell ref="A16:I16"/>
    <mergeCell ref="A17:D17"/>
    <mergeCell ref="E17:F17"/>
    <mergeCell ref="H17:I17"/>
    <mergeCell ref="A7:I7"/>
    <mergeCell ref="B8:G8"/>
    <mergeCell ref="H8:I8"/>
    <mergeCell ref="B9:G9"/>
    <mergeCell ref="H9:I9"/>
    <mergeCell ref="B10:G10"/>
    <mergeCell ref="H10:I10"/>
    <mergeCell ref="B11:G11"/>
    <mergeCell ref="H11:I11"/>
    <mergeCell ref="A12:I12"/>
    <mergeCell ref="A6:E6"/>
    <mergeCell ref="A2:I2"/>
    <mergeCell ref="A3:I3"/>
    <mergeCell ref="A4:E4"/>
    <mergeCell ref="F4:I4"/>
    <mergeCell ref="A5:E5"/>
    <mergeCell ref="F5:I5"/>
    <mergeCell ref="F6:I6"/>
  </mergeCells>
  <pageMargins left="0.78740157480314965" right="0.39370078740157483" top="0.39370078740157483" bottom="0.39370078740157483" header="0.31496062992125984" footer="0.31496062992125984"/>
  <pageSetup paperSize="9" scale="65" orientation="portrait" horizontalDpi="300" verticalDpi="300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ASP 44H - NOTURNO (44H)</vt:lpstr>
      <vt:lpstr>ASP 44H - DIURNO (44H)</vt:lpstr>
      <vt:lpstr>INSUMOS DOS POSTOS</vt:lpstr>
      <vt:lpstr>RESUMO</vt:lpstr>
      <vt:lpstr>'ASP 44H - DIURNO (44H)'!Area_de_impressao</vt:lpstr>
      <vt:lpstr>'ASP 44H - NOTURNO (44H)'!Area_de_impressao</vt:lpstr>
      <vt:lpstr>RESUMO!Area_de_impressao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Hélio Justo</dc:creator>
  <cp:lastModifiedBy>Gislaine Caimi Guedes</cp:lastModifiedBy>
  <cp:lastPrinted>2025-02-05T18:01:08Z</cp:lastPrinted>
  <dcterms:created xsi:type="dcterms:W3CDTF">2022-04-26T00:10:00Z</dcterms:created>
  <dcterms:modified xsi:type="dcterms:W3CDTF">2025-02-10T12:51:21Z</dcterms:modified>
</cp:coreProperties>
</file>