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260" windowHeight="1470" tabRatio="927" activeTab="8"/>
  </bookViews>
  <sheets>
    <sheet name="MODELO" sheetId="12" r:id="rId1"/>
    <sheet name="Eletricista" sheetId="1" r:id="rId2"/>
    <sheet name="Pedreiro" sheetId="13" r:id="rId3"/>
    <sheet name="Servente" sheetId="14" r:id="rId4"/>
    <sheet name="Auxiliar de Manutenção" sheetId="15" r:id="rId5"/>
    <sheet name="Jardineiro" sheetId="16" r:id="rId6"/>
    <sheet name="Porteiro Diurno" sheetId="17" r:id="rId7"/>
    <sheet name="Porteiro Noturno" sheetId="19" r:id="rId8"/>
    <sheet name="RESUMO" sheetId="9" r:id="rId9"/>
    <sheet name="Eq.EPI-Jard" sheetId="21" r:id="rId10"/>
    <sheet name="Eq.EPI-MP" sheetId="22" r:id="rId11"/>
    <sheet name="Eq.EPI-Port" sheetId="24" r:id="rId12"/>
    <sheet name="Uniformes" sheetId="23" r:id="rId13"/>
  </sheets>
  <definedNames>
    <definedName name="__DdeLink__53222_669315008" localSheetId="11">'Eq.EPI-Port'!$G$29</definedName>
    <definedName name="_xlnm.Print_Area" localSheetId="8">RESUMO!$A$1:$G$15</definedName>
  </definedNames>
  <calcPr calcId="162913"/>
</workbook>
</file>

<file path=xl/calcChain.xml><?xml version="1.0" encoding="utf-8"?>
<calcChain xmlns="http://schemas.openxmlformats.org/spreadsheetml/2006/main">
  <c r="K3" i="24"/>
  <c r="K4" s="1"/>
  <c r="K5" s="1"/>
  <c r="K6" s="1"/>
  <c r="K26" i="22"/>
  <c r="K25"/>
  <c r="K24"/>
  <c r="K23"/>
  <c r="K22"/>
  <c r="K21"/>
  <c r="K20"/>
  <c r="K19"/>
  <c r="K18"/>
  <c r="K27" s="1"/>
  <c r="K11"/>
  <c r="K10"/>
  <c r="K9"/>
  <c r="K8"/>
  <c r="K7"/>
  <c r="K6"/>
  <c r="K5"/>
  <c r="K4"/>
  <c r="K3"/>
  <c r="K7" i="21"/>
  <c r="K8"/>
  <c r="K9"/>
  <c r="K10"/>
  <c r="K11"/>
  <c r="E3" i="24"/>
  <c r="E4" s="1"/>
  <c r="E5" s="1"/>
  <c r="E6" s="1"/>
  <c r="E5" i="22"/>
  <c r="E6" i="21"/>
  <c r="K3"/>
  <c r="K6"/>
  <c r="K5"/>
  <c r="K4"/>
  <c r="K12" i="22" l="1"/>
  <c r="K13" s="1"/>
  <c r="K14" s="1"/>
  <c r="K28"/>
  <c r="K29" s="1"/>
  <c r="K12" i="21"/>
  <c r="K13" s="1"/>
  <c r="K14" s="1"/>
  <c r="Q13" i="23"/>
  <c r="Q12"/>
  <c r="Q11"/>
  <c r="Q10"/>
  <c r="Q9"/>
  <c r="Q8"/>
  <c r="Q7"/>
  <c r="Q6"/>
  <c r="Q5"/>
  <c r="Q4"/>
  <c r="Q3"/>
  <c r="K12"/>
  <c r="K11"/>
  <c r="K10"/>
  <c r="K9"/>
  <c r="K8"/>
  <c r="K7"/>
  <c r="K6"/>
  <c r="K5"/>
  <c r="K4"/>
  <c r="K3"/>
  <c r="E10"/>
  <c r="E9"/>
  <c r="E8"/>
  <c r="E7"/>
  <c r="E6"/>
  <c r="E5"/>
  <c r="E4"/>
  <c r="E3"/>
  <c r="E4" i="22"/>
  <c r="E3"/>
  <c r="E9" i="21"/>
  <c r="E10" s="1"/>
  <c r="E11" s="1"/>
  <c r="E5"/>
  <c r="E4"/>
  <c r="E3"/>
  <c r="J31" i="12"/>
  <c r="J30"/>
  <c r="J31" i="16"/>
  <c r="J30"/>
  <c r="J31" i="15"/>
  <c r="J30"/>
  <c r="J31" i="14"/>
  <c r="J32" s="1"/>
  <c r="J30"/>
  <c r="J31" i="13"/>
  <c r="J30"/>
  <c r="J31" i="1"/>
  <c r="J30"/>
  <c r="I140" i="19"/>
  <c r="J120"/>
  <c r="J151" s="1"/>
  <c r="J63"/>
  <c r="I49"/>
  <c r="I55" s="1"/>
  <c r="J31"/>
  <c r="J32" s="1"/>
  <c r="J30"/>
  <c r="J28"/>
  <c r="J26"/>
  <c r="J27" s="1"/>
  <c r="I16"/>
  <c r="I19" s="1"/>
  <c r="J31" i="17"/>
  <c r="J30"/>
  <c r="K13" i="23" l="1"/>
  <c r="K14" s="1"/>
  <c r="E7" i="21"/>
  <c r="E8" s="1"/>
  <c r="E12" s="1"/>
  <c r="Q14" i="23"/>
  <c r="Q15" s="1"/>
  <c r="E6" i="22"/>
  <c r="E7" s="1"/>
  <c r="E8" s="1"/>
  <c r="J29" i="19"/>
  <c r="J34" s="1"/>
  <c r="E11" i="23"/>
  <c r="E12" s="1"/>
  <c r="J32" i="1"/>
  <c r="J32" i="15"/>
  <c r="J32" i="16"/>
  <c r="J32" i="17"/>
  <c r="J32" i="13"/>
  <c r="J32" i="12"/>
  <c r="J105" i="19"/>
  <c r="J106" s="1"/>
  <c r="J111" s="1"/>
  <c r="J59"/>
  <c r="J69" s="1"/>
  <c r="J75" s="1"/>
  <c r="J40" l="1"/>
  <c r="J54"/>
  <c r="J92"/>
  <c r="J85"/>
  <c r="J49"/>
  <c r="J96"/>
  <c r="J53"/>
  <c r="J51"/>
  <c r="J83"/>
  <c r="J84" s="1"/>
  <c r="J47"/>
  <c r="J50"/>
  <c r="J52"/>
  <c r="J82"/>
  <c r="J48"/>
  <c r="J147"/>
  <c r="J39"/>
  <c r="J80" l="1"/>
  <c r="J81" s="1"/>
  <c r="J86" s="1"/>
  <c r="J149" s="1"/>
  <c r="J55"/>
  <c r="J74" s="1"/>
  <c r="J41"/>
  <c r="J42" s="1"/>
  <c r="J43" s="1"/>
  <c r="J73" s="1"/>
  <c r="J76" s="1"/>
  <c r="J89"/>
  <c r="J94"/>
  <c r="J95"/>
  <c r="J97"/>
  <c r="J93"/>
  <c r="J148" l="1"/>
  <c r="J98"/>
  <c r="J99" l="1"/>
  <c r="J100" s="1"/>
  <c r="J110" s="1"/>
  <c r="J112" s="1"/>
  <c r="J150" l="1"/>
  <c r="J152" s="1"/>
  <c r="J124"/>
  <c r="J125" s="1"/>
  <c r="J126" l="1"/>
  <c r="J127" s="1"/>
  <c r="J128" s="1"/>
  <c r="J137" l="1"/>
  <c r="J132"/>
  <c r="J131"/>
  <c r="J140" l="1"/>
  <c r="J138"/>
  <c r="J153" s="1"/>
  <c r="J154" s="1"/>
  <c r="C9" i="9" s="1"/>
  <c r="E9" s="1"/>
  <c r="G9" s="1"/>
  <c r="I140" i="17" l="1"/>
  <c r="J120"/>
  <c r="J151" s="1"/>
  <c r="J63"/>
  <c r="I49"/>
  <c r="I55" s="1"/>
  <c r="J28"/>
  <c r="J26"/>
  <c r="J29" s="1"/>
  <c r="I16"/>
  <c r="I19" s="1"/>
  <c r="I140" i="16"/>
  <c r="J120"/>
  <c r="J151" s="1"/>
  <c r="J63"/>
  <c r="I49"/>
  <c r="I55" s="1"/>
  <c r="J28"/>
  <c r="J26"/>
  <c r="J59" s="1"/>
  <c r="I16"/>
  <c r="I19" s="1"/>
  <c r="I140" i="15"/>
  <c r="J120"/>
  <c r="J151" s="1"/>
  <c r="J63"/>
  <c r="I49"/>
  <c r="I55" s="1"/>
  <c r="J28"/>
  <c r="J26"/>
  <c r="J59" s="1"/>
  <c r="J69" s="1"/>
  <c r="J75" s="1"/>
  <c r="I16"/>
  <c r="I19" s="1"/>
  <c r="J69" i="16" l="1"/>
  <c r="J75" s="1"/>
  <c r="J27" i="17"/>
  <c r="J34" s="1"/>
  <c r="J59"/>
  <c r="J69" s="1"/>
  <c r="J75" s="1"/>
  <c r="J105"/>
  <c r="J106" s="1"/>
  <c r="J111" s="1"/>
  <c r="J105" i="16"/>
  <c r="J106" s="1"/>
  <c r="J111" s="1"/>
  <c r="J29"/>
  <c r="J27"/>
  <c r="J105" i="15"/>
  <c r="J106" s="1"/>
  <c r="J111" s="1"/>
  <c r="J29"/>
  <c r="J27"/>
  <c r="J34" l="1"/>
  <c r="J83" i="17"/>
  <c r="J84" s="1"/>
  <c r="J51"/>
  <c r="J48"/>
  <c r="J96"/>
  <c r="J92"/>
  <c r="J52"/>
  <c r="J85"/>
  <c r="J53"/>
  <c r="J49"/>
  <c r="J39"/>
  <c r="J147"/>
  <c r="J82"/>
  <c r="J54"/>
  <c r="J50"/>
  <c r="J47"/>
  <c r="J40"/>
  <c r="J34" i="16"/>
  <c r="J52" s="1"/>
  <c r="J147" i="15"/>
  <c r="J82"/>
  <c r="J92"/>
  <c r="J85"/>
  <c r="J53"/>
  <c r="J49"/>
  <c r="J39"/>
  <c r="J54"/>
  <c r="J50"/>
  <c r="J47"/>
  <c r="J40"/>
  <c r="J83"/>
  <c r="J84" s="1"/>
  <c r="J51"/>
  <c r="J48"/>
  <c r="J96"/>
  <c r="J52"/>
  <c r="J80" i="17" l="1"/>
  <c r="J81" s="1"/>
  <c r="J86" s="1"/>
  <c r="J149" s="1"/>
  <c r="J89"/>
  <c r="J41"/>
  <c r="J55"/>
  <c r="J74" s="1"/>
  <c r="J83" i="16"/>
  <c r="J84" s="1"/>
  <c r="J92"/>
  <c r="J51"/>
  <c r="J48"/>
  <c r="J47"/>
  <c r="J49"/>
  <c r="J82"/>
  <c r="J54"/>
  <c r="J85"/>
  <c r="J50"/>
  <c r="J53"/>
  <c r="J147"/>
  <c r="J96"/>
  <c r="J40"/>
  <c r="J39"/>
  <c r="J89" i="15"/>
  <c r="J41"/>
  <c r="J55"/>
  <c r="J74" s="1"/>
  <c r="J80"/>
  <c r="J42" i="17" l="1"/>
  <c r="J43" s="1"/>
  <c r="J73" s="1"/>
  <c r="J76" s="1"/>
  <c r="J95"/>
  <c r="J97"/>
  <c r="J93"/>
  <c r="J94"/>
  <c r="J80" i="16"/>
  <c r="J81" s="1"/>
  <c r="J86" s="1"/>
  <c r="J149" s="1"/>
  <c r="J55"/>
  <c r="J74" s="1"/>
  <c r="J89"/>
  <c r="J97" s="1"/>
  <c r="J41"/>
  <c r="J42" s="1"/>
  <c r="J42" i="15"/>
  <c r="J43" s="1"/>
  <c r="J73" s="1"/>
  <c r="J76" s="1"/>
  <c r="J81"/>
  <c r="J86" s="1"/>
  <c r="J149" s="1"/>
  <c r="J94"/>
  <c r="J97"/>
  <c r="J93"/>
  <c r="J95"/>
  <c r="J95" i="16" l="1"/>
  <c r="J93"/>
  <c r="J148" i="17"/>
  <c r="J98"/>
  <c r="J43" i="16"/>
  <c r="J73" s="1"/>
  <c r="J76" s="1"/>
  <c r="J148" s="1"/>
  <c r="J94"/>
  <c r="J148" i="15"/>
  <c r="J98"/>
  <c r="J98" i="16" l="1"/>
  <c r="J99" i="17"/>
  <c r="J100" s="1"/>
  <c r="J110" s="1"/>
  <c r="J112" s="1"/>
  <c r="J99" i="16"/>
  <c r="J100" s="1"/>
  <c r="J110" s="1"/>
  <c r="J112" s="1"/>
  <c r="J99" i="15"/>
  <c r="J100" s="1"/>
  <c r="J110" s="1"/>
  <c r="J112" s="1"/>
  <c r="J150" i="17" l="1"/>
  <c r="J152" s="1"/>
  <c r="J124"/>
  <c r="J125" s="1"/>
  <c r="J126" s="1"/>
  <c r="J127" s="1"/>
  <c r="J150" i="16"/>
  <c r="J152" s="1"/>
  <c r="J124"/>
  <c r="J125" s="1"/>
  <c r="J150" i="15"/>
  <c r="J152" s="1"/>
  <c r="J124"/>
  <c r="J125" s="1"/>
  <c r="J126" s="1"/>
  <c r="J127" s="1"/>
  <c r="J128" i="17" l="1"/>
  <c r="J137" s="1"/>
  <c r="J126" i="16"/>
  <c r="J127" s="1"/>
  <c r="J128" s="1"/>
  <c r="J128" i="15"/>
  <c r="J131" s="1"/>
  <c r="J132" i="17" l="1"/>
  <c r="J131"/>
  <c r="J137" i="16"/>
  <c r="J131"/>
  <c r="J132"/>
  <c r="J137" i="15"/>
  <c r="J132"/>
  <c r="J140" l="1"/>
  <c r="J138" i="17"/>
  <c r="J153" s="1"/>
  <c r="J154" s="1"/>
  <c r="C8" i="9" s="1"/>
  <c r="E8" s="1"/>
  <c r="G8" s="1"/>
  <c r="J140" i="17"/>
  <c r="J140" i="16"/>
  <c r="J138"/>
  <c r="J153" s="1"/>
  <c r="J154" s="1"/>
  <c r="C7" i="9" s="1"/>
  <c r="E7" s="1"/>
  <c r="G7" s="1"/>
  <c r="J138" i="15"/>
  <c r="J153" s="1"/>
  <c r="J154" s="1"/>
  <c r="C6" i="9" s="1"/>
  <c r="E6" s="1"/>
  <c r="G6" s="1"/>
  <c r="I140" i="14" l="1"/>
  <c r="J120"/>
  <c r="J151" s="1"/>
  <c r="J63"/>
  <c r="I49"/>
  <c r="I55" s="1"/>
  <c r="J28"/>
  <c r="J26"/>
  <c r="I16"/>
  <c r="I19" s="1"/>
  <c r="J28" i="13"/>
  <c r="I140"/>
  <c r="J120"/>
  <c r="J151" s="1"/>
  <c r="J63"/>
  <c r="I49"/>
  <c r="I55" s="1"/>
  <c r="J26"/>
  <c r="I16"/>
  <c r="I19" s="1"/>
  <c r="I140" i="12"/>
  <c r="J120"/>
  <c r="J151" s="1"/>
  <c r="J63"/>
  <c r="I49"/>
  <c r="I55" s="1"/>
  <c r="J28"/>
  <c r="J26"/>
  <c r="I16"/>
  <c r="I19" s="1"/>
  <c r="J59" i="14" l="1"/>
  <c r="J69" s="1"/>
  <c r="J75" s="1"/>
  <c r="J29" i="13"/>
  <c r="J29" i="12"/>
  <c r="J105" i="14"/>
  <c r="J106" s="1"/>
  <c r="J111" s="1"/>
  <c r="J29"/>
  <c r="J27"/>
  <c r="J34" s="1"/>
  <c r="J27" i="13"/>
  <c r="J59"/>
  <c r="J69" s="1"/>
  <c r="J75" s="1"/>
  <c r="J105"/>
  <c r="J106" s="1"/>
  <c r="J111" s="1"/>
  <c r="J105" i="12"/>
  <c r="J106" s="1"/>
  <c r="J111" s="1"/>
  <c r="J27"/>
  <c r="J34" s="1"/>
  <c r="J59"/>
  <c r="J69" s="1"/>
  <c r="J75" s="1"/>
  <c r="J34" i="13" l="1"/>
  <c r="J83" i="14"/>
  <c r="J84" s="1"/>
  <c r="J83" i="13"/>
  <c r="J84" s="1"/>
  <c r="J51"/>
  <c r="J48"/>
  <c r="J96"/>
  <c r="J92"/>
  <c r="J52"/>
  <c r="J85"/>
  <c r="J53"/>
  <c r="J49"/>
  <c r="J39"/>
  <c r="J147"/>
  <c r="J82"/>
  <c r="J54"/>
  <c r="J50"/>
  <c r="J47"/>
  <c r="J40"/>
  <c r="J147" i="12"/>
  <c r="J82"/>
  <c r="J54"/>
  <c r="J50"/>
  <c r="J47"/>
  <c r="J40"/>
  <c r="J96"/>
  <c r="J83"/>
  <c r="J84" s="1"/>
  <c r="J51"/>
  <c r="J48"/>
  <c r="J92"/>
  <c r="J52"/>
  <c r="J85"/>
  <c r="J53"/>
  <c r="J49"/>
  <c r="J39"/>
  <c r="J52" i="14" l="1"/>
  <c r="J39"/>
  <c r="J147"/>
  <c r="J96"/>
  <c r="J54"/>
  <c r="J85"/>
  <c r="J82"/>
  <c r="J47"/>
  <c r="J49"/>
  <c r="J51"/>
  <c r="J40"/>
  <c r="J48"/>
  <c r="J92"/>
  <c r="J50"/>
  <c r="J53"/>
  <c r="J80" i="12"/>
  <c r="J55"/>
  <c r="J74" s="1"/>
  <c r="J80" i="13"/>
  <c r="J81" s="1"/>
  <c r="J86" s="1"/>
  <c r="J149" s="1"/>
  <c r="J89"/>
  <c r="J41"/>
  <c r="J55"/>
  <c r="J74" s="1"/>
  <c r="J89" i="12"/>
  <c r="J41"/>
  <c r="J80" i="14" l="1"/>
  <c r="J55"/>
  <c r="J74" s="1"/>
  <c r="J89"/>
  <c r="J93" s="1"/>
  <c r="J41"/>
  <c r="J81"/>
  <c r="J86" s="1"/>
  <c r="J149" s="1"/>
  <c r="J81" i="12"/>
  <c r="J86" s="1"/>
  <c r="J149" s="1"/>
  <c r="J42" i="13"/>
  <c r="J43" s="1"/>
  <c r="J73" s="1"/>
  <c r="J76" s="1"/>
  <c r="J95"/>
  <c r="J97"/>
  <c r="J93"/>
  <c r="J94"/>
  <c r="J42" i="12"/>
  <c r="J43" s="1"/>
  <c r="J73" s="1"/>
  <c r="J76" s="1"/>
  <c r="J94"/>
  <c r="J95"/>
  <c r="J97"/>
  <c r="J93"/>
  <c r="J97" i="14" l="1"/>
  <c r="J94"/>
  <c r="J95"/>
  <c r="J42"/>
  <c r="J43" s="1"/>
  <c r="J73" s="1"/>
  <c r="J76" s="1"/>
  <c r="J148" s="1"/>
  <c r="J148" i="13"/>
  <c r="J98"/>
  <c r="J148" i="12"/>
  <c r="J98"/>
  <c r="J98" i="14" l="1"/>
  <c r="J99" s="1"/>
  <c r="J100" s="1"/>
  <c r="J110" s="1"/>
  <c r="J112" s="1"/>
  <c r="J99" i="13"/>
  <c r="J100" s="1"/>
  <c r="J110" s="1"/>
  <c r="J112" s="1"/>
  <c r="J99" i="12"/>
  <c r="J100" s="1"/>
  <c r="J110" s="1"/>
  <c r="J112" s="1"/>
  <c r="J150" i="14" l="1"/>
  <c r="J152" s="1"/>
  <c r="J124"/>
  <c r="J125" s="1"/>
  <c r="J126" s="1"/>
  <c r="J127" s="1"/>
  <c r="J150" i="13"/>
  <c r="J152" s="1"/>
  <c r="J124"/>
  <c r="J125" s="1"/>
  <c r="J126" s="1"/>
  <c r="J127" s="1"/>
  <c r="J150" i="12"/>
  <c r="J152" s="1"/>
  <c r="J124"/>
  <c r="J125" s="1"/>
  <c r="J128" i="14" l="1"/>
  <c r="J137" s="1"/>
  <c r="J128" i="13"/>
  <c r="J137" s="1"/>
  <c r="J126" i="12"/>
  <c r="J127" s="1"/>
  <c r="J128" s="1"/>
  <c r="J132" i="14" l="1"/>
  <c r="J131"/>
  <c r="J131" i="13"/>
  <c r="J132"/>
  <c r="J137" i="12"/>
  <c r="J131"/>
  <c r="J132"/>
  <c r="J140" i="14" l="1"/>
  <c r="J138"/>
  <c r="J153" s="1"/>
  <c r="J154" s="1"/>
  <c r="C5" i="9" s="1"/>
  <c r="E5" s="1"/>
  <c r="G5" s="1"/>
  <c r="J140" i="13"/>
  <c r="J138"/>
  <c r="J153" s="1"/>
  <c r="J154" s="1"/>
  <c r="C4" i="9" s="1"/>
  <c r="E4" s="1"/>
  <c r="G4" s="1"/>
  <c r="J140" i="12"/>
  <c r="J138"/>
  <c r="J153" s="1"/>
  <c r="J154" s="1"/>
  <c r="J63" i="1" l="1"/>
  <c r="J26"/>
  <c r="I16"/>
  <c r="I19" s="1"/>
  <c r="J28"/>
  <c r="I140"/>
  <c r="J120"/>
  <c r="J151" s="1"/>
  <c r="I49"/>
  <c r="I55" s="1"/>
  <c r="J29" l="1"/>
  <c r="J27"/>
  <c r="J59"/>
  <c r="J69" s="1"/>
  <c r="J75" s="1"/>
  <c r="J105"/>
  <c r="J106" s="1"/>
  <c r="J111" s="1"/>
  <c r="J34" l="1"/>
  <c r="J85" s="1"/>
  <c r="J83" l="1"/>
  <c r="J84" s="1"/>
  <c r="J82"/>
  <c r="J147"/>
  <c r="J39"/>
  <c r="J54"/>
  <c r="J50"/>
  <c r="J51"/>
  <c r="J48"/>
  <c r="J47"/>
  <c r="J92"/>
  <c r="J96"/>
  <c r="J40"/>
  <c r="J53"/>
  <c r="J52"/>
  <c r="J49"/>
  <c r="J41" l="1"/>
  <c r="J80"/>
  <c r="J81" s="1"/>
  <c r="J86" s="1"/>
  <c r="J149" s="1"/>
  <c r="J89"/>
  <c r="J93" s="1"/>
  <c r="J55"/>
  <c r="J74" s="1"/>
  <c r="J42"/>
  <c r="J43" s="1"/>
  <c r="J73" s="1"/>
  <c r="J95" l="1"/>
  <c r="J94"/>
  <c r="J76"/>
  <c r="J148" s="1"/>
  <c r="J97"/>
  <c r="J98" l="1"/>
  <c r="J99" s="1"/>
  <c r="J100" s="1"/>
  <c r="J110" s="1"/>
  <c r="J112" s="1"/>
  <c r="J124" s="1"/>
  <c r="J125" s="1"/>
  <c r="J150" l="1"/>
  <c r="J152" s="1"/>
  <c r="J126"/>
  <c r="J127" s="1"/>
  <c r="J128" l="1"/>
  <c r="J131" l="1"/>
  <c r="J132"/>
  <c r="J137"/>
  <c r="J140" l="1"/>
  <c r="J138"/>
  <c r="J153" s="1"/>
  <c r="J154" s="1"/>
  <c r="C3" i="9" s="1"/>
  <c r="E3" s="1"/>
  <c r="G3" s="1"/>
  <c r="G10" l="1"/>
  <c r="G12" s="1"/>
  <c r="G14" s="1"/>
</calcChain>
</file>

<file path=xl/sharedStrings.xml><?xml version="1.0" encoding="utf-8"?>
<sst xmlns="http://schemas.openxmlformats.org/spreadsheetml/2006/main" count="2189" uniqueCount="265">
  <si>
    <t>Nº do processo: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</si>
  <si>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</si>
  <si>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</si>
  <si>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</si>
  <si>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</si>
  <si>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</si>
  <si>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</si>
  <si>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</si>
  <si>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</si>
  <si>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</si>
  <si>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</si>
  <si>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Dados para composição dos custos referente à mão de obra</t>
  </si>
  <si>
    <t>Tipo de Serviço (mesmo serviço com características distintas)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</si>
  <si>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</si>
  <si>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</si>
  <si>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</si>
  <si>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</si>
  <si>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</si>
  <si>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</si>
  <si>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</si>
  <si>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</si>
  <si>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</si>
  <si>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</si>
  <si>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t>Valor (R$)</t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</si>
  <si>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</si>
  <si>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</si>
  <si>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</si>
  <si>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</si>
  <si>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</si>
  <si>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</si>
  <si>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</si>
  <si>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</si>
  <si>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</si>
  <si>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</si>
  <si>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</si>
  <si>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</si>
  <si>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</si>
  <si>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</si>
  <si>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</si>
  <si>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</si>
  <si>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</si>
  <si>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</si>
  <si>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</si>
  <si>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</si>
  <si>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</si>
  <si>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</si>
  <si>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</si>
  <si>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t>-</t>
  </si>
  <si>
    <t xml:space="preserve">      A.2) Quantidade de passagens por dia por empregado:</t>
  </si>
  <si>
    <t xml:space="preserve">      A.3) Quantidade de dias do mês de recebimento de passagens</t>
  </si>
  <si>
    <t xml:space="preserve">      B.1) Valor do auxílio-alimentação: </t>
  </si>
  <si>
    <t xml:space="preserve">      B.2) Quantidade de dias do mês de recebimento de auxílio-alimentação</t>
  </si>
  <si>
    <t>Seguro contra riscos de acidente de trabalho</t>
  </si>
  <si>
    <t xml:space="preserve">Plano de Benefício Social Familiar </t>
  </si>
  <si>
    <t>Quadro-Resumo do Módulo 2 – Encargos e Benefícios Anuais, Mensais e Diários</t>
  </si>
  <si>
    <t>Encargos e Benefícios Anuais, Mensais e Diários</t>
  </si>
  <si>
    <t>Módulo 3 - Provisão para Rescisão</t>
  </si>
  <si>
    <t>Provisão para Rescisão</t>
  </si>
  <si>
    <t>Incidência do FGTS sobre o Aviso Prévio Indenizado</t>
  </si>
  <si>
    <t xml:space="preserve">Incidência dos encargos do Submódulo 2.2 sobre o Aviso Prévio Trabalhado         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</si>
  <si>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</si>
  <si>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</si>
  <si>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</si>
  <si>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</si>
  <si>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</si>
  <si>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</si>
  <si>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</si>
  <si>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</si>
  <si>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</si>
  <si>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</si>
  <si>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</si>
  <si>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</si>
  <si>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</si>
  <si>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</si>
  <si>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</si>
  <si>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</si>
  <si>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</si>
  <si>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>EPI's</t>
  </si>
  <si>
    <t xml:space="preserve">Equipamentos </t>
  </si>
  <si>
    <t>0.00</t>
  </si>
  <si>
    <t>Módulo 6 -  Custos Indiretos, Lucro e Tributos</t>
  </si>
  <si>
    <t xml:space="preserve">Custos Indiretos, Lucro e Tributos 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</si>
  <si>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</si>
  <si>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</si>
  <si>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</si>
  <si>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</si>
  <si>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</si>
  <si>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</si>
  <si>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</si>
  <si>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</si>
  <si>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</si>
  <si>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</si>
  <si>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</si>
  <si>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</si>
  <si>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</si>
  <si>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</si>
  <si>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</si>
  <si>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</si>
  <si>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</si>
  <si>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</si>
  <si>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</si>
  <si>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</si>
  <si>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</si>
  <si>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</si>
  <si>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</si>
  <si>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</si>
  <si>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Regime de Tributação: Lucro Real</t>
  </si>
  <si>
    <t>PLANILHA DE CUSTOS E FORMAÇÃO DE PREÇOS - SUPORTE OPERACIONAL</t>
  </si>
  <si>
    <t xml:space="preserve">Dia: </t>
  </si>
  <si>
    <t>PASSO FUNDO/RS</t>
  </si>
  <si>
    <t>13º (décimo terceiro) Salário e Adicional de Férias</t>
  </si>
  <si>
    <r>
      <t>13º (décimo terceiro) Salário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>e Adicional de Férias</t>
    </r>
  </si>
  <si>
    <r>
      <t>13º (décimo terceiro) Salário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</si>
  <si>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</si>
  <si>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t xml:space="preserve">Aviso Prévio Indenizado     </t>
    </r>
    <r>
      <rPr>
        <b/>
        <sz val="10"/>
        <color rgb="FFFF000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</si>
  <si>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Multa do FGTS e contribuição social sobre o Aviso Prévio Indenizado </t>
    </r>
    <r>
      <rPr>
        <b/>
        <sz val="10"/>
        <color rgb="FFFF0000"/>
        <rFont val="Arial"/>
        <family val="2"/>
      </rPr>
      <t>Obrigatória a cotação de 0,24% sobre o valor do Módulo 1 – Composição da Remuneração, conforme Anexo XII da IN Seges nº 5/2017 (0,19% + 3,81% = 4,0%) - (Lei 13.932, de 11 de dezembro de 2019)</t>
    </r>
  </si>
  <si>
    <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</rPr>
      <t>Cálculo do valor= [(Rem/30)x7]/12 meses do contrato. Consideramos que 10% do colaboradores são desligados nessa condição.</t>
    </r>
  </si>
  <si>
    <r>
      <t xml:space="preserve">Multa do FGTS e contribuição social sobre o Aviso Prévio Trabalhado </t>
    </r>
    <r>
      <rPr>
        <b/>
        <sz val="10"/>
        <color rgb="FFFF0000"/>
        <rFont val="Arial"/>
        <family val="2"/>
      </rPr>
      <t>Obrigatória a cotação de 4,76% sobre o valor do Módulo 1 – Composição da Remuneração, conforme Anexo XII da IN Seges nº 5/2017 (3,81%+0,19% = 4,0%) - (Lei 13.932, de 11 de dezembro de 2019)</t>
    </r>
  </si>
  <si>
    <r>
      <t xml:space="preserve">Ausências Legais                         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/30)x2,96dias]/12</t>
    </r>
  </si>
  <si>
    <r>
      <t xml:space="preserve">Licença-Paternidade         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/30)x5dias]/12}x1,5%</t>
    </r>
  </si>
  <si>
    <r>
      <t xml:space="preserve">Ausência por acidente de trabalho                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/30)x15dias]/12}x0,78%</t>
    </r>
  </si>
  <si>
    <r>
      <t xml:space="preserve">Afastamento Maternidade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)/12]x(4/12)}x2%</t>
    </r>
  </si>
  <si>
    <r>
      <t xml:space="preserve">(Outros)   Ausência por doença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)/30)x5dias]/12</t>
    </r>
  </si>
  <si>
    <r>
      <t xml:space="preserve">  a) Cofins</t>
    </r>
    <r>
      <rPr>
        <sz val="10"/>
        <color rgb="FFFF0000"/>
        <rFont val="Arial"/>
        <family val="2"/>
      </rPr>
      <t xml:space="preserve">  (depende do regime de tributação - utilizada a hipótese de Lucro Real)</t>
    </r>
  </si>
  <si>
    <r>
      <t xml:space="preserve">  b) PI</t>
    </r>
    <r>
      <rPr>
        <b/>
        <sz val="10"/>
        <rFont val="Arial"/>
        <family val="2"/>
      </rPr>
      <t>S</t>
    </r>
    <r>
      <rPr>
        <sz val="10"/>
        <color rgb="FFFF0000"/>
        <rFont val="Arial"/>
        <family val="2"/>
      </rPr>
      <t xml:space="preserve"> (depende do regime de tributação - utilizada a hipótese de Lucro Real)</t>
    </r>
  </si>
  <si>
    <r>
      <t xml:space="preserve">  a) ISS   </t>
    </r>
    <r>
      <rPr>
        <sz val="10"/>
        <color rgb="FFFF0000"/>
        <rFont val="Arial"/>
        <family val="2"/>
      </rPr>
      <t xml:space="preserve">ISS  LEI Nº 137, DE 29/12/2004 - Prefeitura de Passo Fundo/RS            </t>
    </r>
  </si>
  <si>
    <t>7156-15</t>
  </si>
  <si>
    <t>7152-10</t>
  </si>
  <si>
    <r>
      <t xml:space="preserve">Salário-Base   </t>
    </r>
    <r>
      <rPr>
        <b/>
        <sz val="10"/>
        <color rgb="FFFF0000"/>
        <rFont val="Arial"/>
        <family val="2"/>
      </rPr>
      <t>(não inferior ao salário mínimo nacional)</t>
    </r>
  </si>
  <si>
    <r>
      <t xml:space="preserve">Outros </t>
    </r>
    <r>
      <rPr>
        <b/>
        <sz val="10"/>
        <color rgb="FFFF0000"/>
        <rFont val="Arial"/>
        <family val="2"/>
      </rPr>
      <t xml:space="preserve">(especificar) </t>
    </r>
  </si>
  <si>
    <r>
      <t xml:space="preserve">Adicional de Insalubridade </t>
    </r>
    <r>
      <rPr>
        <b/>
        <sz val="10"/>
        <color rgb="FFFF0000"/>
        <rFont val="Arial"/>
        <family val="2"/>
      </rPr>
      <t>(base de cálculo: renda, cfe. CCT)</t>
    </r>
  </si>
  <si>
    <t>SINDUSCON/PASSO FUNDO - CCT 2022-2022</t>
  </si>
  <si>
    <t>Eletricista</t>
  </si>
  <si>
    <r>
      <t xml:space="preserve">Salário Mínimo Nacional </t>
    </r>
    <r>
      <rPr>
        <b/>
        <sz val="10"/>
        <color rgb="FFFF0000"/>
        <rFont val="Arial"/>
        <family val="2"/>
      </rPr>
      <t>(para fins de base de cálculo da insalubridade ou para limíte mínimo de renda).</t>
    </r>
  </si>
  <si>
    <r>
      <t xml:space="preserve">Jornada Semanal </t>
    </r>
    <r>
      <rPr>
        <b/>
        <sz val="10"/>
        <color rgb="FFFF0000"/>
        <rFont val="Arial"/>
        <family val="2"/>
      </rPr>
      <t>(número de horas semanais)</t>
    </r>
  </si>
  <si>
    <t xml:space="preserve">      A.1) Valor da passagem do transporte coletivo no município de prestação dos serviços: Passo Fundo/RS</t>
  </si>
  <si>
    <t>2. QUADRO-RESUMO DO CUSTO POR EMPREGADO</t>
  </si>
  <si>
    <t>1. MÓDULOS Mão de obra vinculada à execução contratual</t>
  </si>
  <si>
    <t>ELETRICISTA</t>
  </si>
  <si>
    <r>
      <t xml:space="preserve">Auxílio-Refeição/Alimentação </t>
    </r>
    <r>
      <rPr>
        <b/>
        <sz val="10"/>
        <color rgb="FFFF0000"/>
        <rFont val="Arial"/>
        <family val="2"/>
      </rPr>
      <t xml:space="preserve">        Cálculo do valor: [(VA ou VR x 22 dias) x ( 1 - contrapartida)]</t>
    </r>
  </si>
  <si>
    <r>
      <t xml:space="preserve">Transporte                                          </t>
    </r>
    <r>
      <rPr>
        <b/>
        <sz val="10"/>
        <color rgb="FFFF0000"/>
        <rFont val="Arial"/>
        <family val="2"/>
      </rPr>
      <t>Cálculo do valor: [( 2 x VT x 22 dias ) – ( 6% x SB )]</t>
    </r>
  </si>
  <si>
    <r>
      <t xml:space="preserve">Adicional de Periculosidade </t>
    </r>
    <r>
      <rPr>
        <b/>
        <sz val="10"/>
        <color rgb="FFFF0000"/>
        <rFont val="Arial"/>
        <family val="2"/>
      </rPr>
      <t>(base de cálculo: renda, cfe. CLT)</t>
    </r>
  </si>
  <si>
    <r>
      <t xml:space="preserve">Adicional de Insalubridade </t>
    </r>
    <r>
      <rPr>
        <b/>
        <sz val="10"/>
        <color rgb="FFFF0000"/>
        <rFont val="Arial"/>
        <family val="2"/>
      </rPr>
      <t>(base de cálculo: sal. mín. nacional, cfe. CLT)</t>
    </r>
  </si>
  <si>
    <t xml:space="preserve">      B.3) Contrapartida do empregado</t>
  </si>
  <si>
    <t>PEDREIRO</t>
  </si>
  <si>
    <t>SERVENTE</t>
  </si>
  <si>
    <t>" M O D E L O "</t>
  </si>
  <si>
    <t>XXXX-XX</t>
  </si>
  <si>
    <t>7170-20</t>
  </si>
  <si>
    <t>AUXILIAR DE MANUTENÇÃO</t>
  </si>
  <si>
    <t>5143-10</t>
  </si>
  <si>
    <t>JARDINEIRO</t>
  </si>
  <si>
    <t>6220-10</t>
  </si>
  <si>
    <t>PORTEIRO DIURNO</t>
  </si>
  <si>
    <t>5174-10</t>
  </si>
  <si>
    <r>
      <t xml:space="preserve">Adicional de Insalubridade </t>
    </r>
    <r>
      <rPr>
        <b/>
        <sz val="10"/>
        <color rgb="FFFF0000"/>
        <rFont val="Arial"/>
        <family val="2"/>
      </rPr>
      <t>(cálculo: renda, cfe. CCT)</t>
    </r>
  </si>
  <si>
    <r>
      <t xml:space="preserve">Adicional de Insalubridade </t>
    </r>
    <r>
      <rPr>
        <b/>
        <sz val="10"/>
        <color rgb="FFFF0000"/>
        <rFont val="Arial"/>
        <family val="2"/>
      </rPr>
      <t>(cálculo: sal. mín. nacional, cfe. CLT)</t>
    </r>
  </si>
  <si>
    <r>
      <t xml:space="preserve">Adicional de Periculosidade </t>
    </r>
    <r>
      <rPr>
        <b/>
        <sz val="10"/>
        <color rgb="FFFF0000"/>
        <rFont val="Arial"/>
        <family val="2"/>
      </rPr>
      <t>(cálculo: renda, cfe. CLT)</t>
    </r>
  </si>
  <si>
    <r>
      <t xml:space="preserve">DSR - Descanso Semanal Remunerado </t>
    </r>
    <r>
      <rPr>
        <b/>
        <sz val="10"/>
        <color rgb="FFFF0000"/>
        <rFont val="Arial"/>
        <family val="2"/>
      </rPr>
      <t>(cálculo: 20% sobre os adicionais pertinentes)</t>
    </r>
  </si>
  <si>
    <t>PORTEIRO NOTURNO</t>
  </si>
  <si>
    <r>
      <t xml:space="preserve">Adicional Noturno </t>
    </r>
    <r>
      <rPr>
        <b/>
        <sz val="10"/>
        <color rgb="FFFF0000"/>
        <rFont val="Arial"/>
        <family val="2"/>
      </rPr>
      <t>(cálculo: Nº de horas noturnas mês x (SB/220h)+20%)</t>
    </r>
  </si>
  <si>
    <r>
      <t xml:space="preserve">Hora Noturna Adicional </t>
    </r>
    <r>
      <rPr>
        <b/>
        <sz val="10"/>
        <color rgb="FFFF0000"/>
        <rFont val="Arial"/>
        <family val="2"/>
      </rPr>
      <t xml:space="preserve">(cálculo: Nº de horas noturnas mês x [(60 min-52,5 min)/60 min] x [(SB/220h+20%)+50%] </t>
    </r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</si>
  <si>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</si>
  <si>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</si>
  <si>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</si>
  <si>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</si>
  <si>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</si>
  <si>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</si>
  <si>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</si>
  <si>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QUADRO DEMONSTRATIVO DO VALOR GLOBAL DA PROPOSTA </t>
  </si>
  <si>
    <t>Número de meses do Contrato</t>
  </si>
  <si>
    <t>Pedreiro</t>
  </si>
  <si>
    <t>Servente</t>
  </si>
  <si>
    <t>Auxiliar de Manutenção</t>
  </si>
  <si>
    <t>Jardineiro</t>
  </si>
  <si>
    <t>Porteiro Diurno</t>
  </si>
  <si>
    <t>Porteiro Noturno</t>
  </si>
  <si>
    <r>
      <rPr>
        <b/>
        <sz val="10"/>
        <rFont val="Arial"/>
        <family val="2"/>
      </rPr>
      <t>Valor Global do Proposta</t>
    </r>
    <r>
      <rPr>
        <sz val="11"/>
        <color theme="1"/>
        <rFont val="Calibri"/>
        <family val="2"/>
        <scheme val="minor"/>
      </rPr>
      <t xml:space="preserve"> (Valor mensal do serviço x  nº de meses do contrato).</t>
    </r>
  </si>
  <si>
    <t>SINDASSEIO/PASSO FUNDO - CCT 2022-2022</t>
  </si>
  <si>
    <t>Kit de proteção para operador de roçadeira (Boné com protetor facial; Balaclava; Perneira de segurança; Avental de rapa; Óculos; Par de luvas de raspa; Abafador de ruídos em concha; Par de Botas)</t>
  </si>
  <si>
    <t>Quantidade</t>
  </si>
  <si>
    <t>Unidade</t>
  </si>
  <si>
    <t>Valor Unitário</t>
  </si>
  <si>
    <t>Custo Anual</t>
  </si>
  <si>
    <t>Kit.</t>
  </si>
  <si>
    <t>Par</t>
  </si>
  <si>
    <t>Luvas de proteção latex</t>
  </si>
  <si>
    <t>Capacete de segurança NR-10 Classe B</t>
  </si>
  <si>
    <t>Protetor auricular</t>
  </si>
  <si>
    <t>Óculos de proteção</t>
  </si>
  <si>
    <t>Máscara facial</t>
  </si>
  <si>
    <t>Protetor solar PFS mínimo 30</t>
  </si>
  <si>
    <t>Luvas de proteção de raspa</t>
  </si>
  <si>
    <t>Par.</t>
  </si>
  <si>
    <t xml:space="preserve">Motoserra a gasolina, potência mínima de 3,1cv, sabre de 40cm, relação peso potência 2,0kg/kW, acionamento em alavanca única </t>
  </si>
  <si>
    <t>Equi/Supr.</t>
  </si>
  <si>
    <t>Roçadeira lateral a gasolina, potência mínima 2,0Hp, uso profissional, lâmina de duas pontas e carretel de nylon, cinturão duplo padrão</t>
  </si>
  <si>
    <t>Cortador de grama a gasolina, potência mínima 140cc, largura de corte 50cm, com coletor</t>
  </si>
  <si>
    <t>Gasolina comum</t>
  </si>
  <si>
    <t>Litros/ano</t>
  </si>
  <si>
    <t>Equipamentos</t>
  </si>
  <si>
    <t>Escada de abrir, em fibra de vidro, não condutora de eletricidade, acesso duplo, 1,8m, de acordo com a NR18, carga 110kg em cada lado, sapatas de borracha</t>
  </si>
  <si>
    <t>Escada extensível, em fibra de vidro, não condutora de eletricidade, fechada 4,2m x aberta 7,2m, de acordo com a NR18, carga 110kg, catraca de segurança, sapatas de borracha</t>
  </si>
  <si>
    <t>Custo anual dos Equipamentos - Manutenção Predial</t>
  </si>
  <si>
    <t>Uniformes/Portaria</t>
  </si>
  <si>
    <t>Peças/Vestuário</t>
  </si>
  <si>
    <t>Custo anual</t>
  </si>
  <si>
    <t>Calças de jeans ou sarja;</t>
  </si>
  <si>
    <t>Camisas de manga comprida;</t>
  </si>
  <si>
    <t>Camisas de manga curta;</t>
  </si>
  <si>
    <t>Blusão de malha para frio;</t>
  </si>
  <si>
    <t>Jaqueta de frio impermeável;</t>
  </si>
  <si>
    <t>Capa de chuva com capuz;</t>
  </si>
  <si>
    <t>Pares de botinas;</t>
  </si>
  <si>
    <t>Guarda-chuvas, com no mínimo 100cm de diâmetro;</t>
  </si>
  <si>
    <t>Custo anual dos Uniformes/Portaria</t>
  </si>
  <si>
    <t>Custo mensal do Uniformes/Portaria</t>
  </si>
  <si>
    <t>Uniformes/Manutenção</t>
  </si>
  <si>
    <t>Peças/Vestuários</t>
  </si>
  <si>
    <t>Par de bota de borracha cano longo;</t>
  </si>
  <si>
    <t>Jaleco;</t>
  </si>
  <si>
    <t>Chapéu ou boné;</t>
  </si>
  <si>
    <t>Custo mensal dos Uniformes/Manutenção</t>
  </si>
  <si>
    <t>Uniformes/Jardinagem</t>
  </si>
  <si>
    <t>Avental;</t>
  </si>
  <si>
    <t>Jardinagem/Equipamentos e Suprimentos</t>
  </si>
  <si>
    <t>Custo anual dos Uniformes/Jardinagem</t>
  </si>
  <si>
    <t>Custo mensal dos Uniformes/Jardinagem</t>
  </si>
  <si>
    <t>Custo anual dos Uniformes/Manutenção</t>
  </si>
  <si>
    <t>Ponto biométrico homologado e registrado pelo Ministério do Trabalho e Emprego, bem como estar em atendimento à legislação vigente;</t>
  </si>
  <si>
    <t>Luvas de proteção de segurança pigmentada.</t>
  </si>
  <si>
    <t>Valor Mensal dos Serviços de mão de obra</t>
  </si>
  <si>
    <t>Kit de proteção para trabalho em altura (equipamentos necessários para o atendimento da NR-35)</t>
  </si>
  <si>
    <t>Item</t>
  </si>
  <si>
    <t>Valor mensal do serviço de mão de obra</t>
  </si>
  <si>
    <t>Jardinagem/EPI</t>
  </si>
  <si>
    <t>1/9</t>
  </si>
  <si>
    <t>Fração</t>
  </si>
  <si>
    <t>Custo Anual dos EPIS - Jardinagem</t>
  </si>
  <si>
    <t>Custo Mensal dos EPIs - Jardinagem</t>
  </si>
  <si>
    <t>4/9</t>
  </si>
  <si>
    <t>Valor por posto</t>
  </si>
  <si>
    <t>Custo Anual dos Equipamentos - Jardinagem</t>
  </si>
  <si>
    <t>Custo Mensal dos Equipamentos - Jardinagem (depreciação 20%/ano)</t>
  </si>
  <si>
    <t>Custo Anual dos Suprimentos - Jardinagem</t>
  </si>
  <si>
    <t>Custo Mensal dos Suprimentos - Jardinagem</t>
  </si>
  <si>
    <t>Custo Mensal dos Equipamentos - Manutenção Predial (depreciação 20%/ano)</t>
  </si>
  <si>
    <t>Custo Mensal dos Equipamentos - Portaria (depreciação 20%/ano)</t>
  </si>
  <si>
    <t>Custo anual dos Equipamentos - Portaria</t>
  </si>
  <si>
    <t>Portaria/Equipamentos</t>
  </si>
  <si>
    <t>Eletricista/EPI</t>
  </si>
  <si>
    <t>Pedreiro-Servente-Aux.Manutenção/EPI</t>
  </si>
  <si>
    <t>Custo Anual dos EPIS - Eletricista</t>
  </si>
  <si>
    <t>Custo Mensal dos EPIs - Eletricista</t>
  </si>
  <si>
    <t>Custo Anual dos EPIS - Pedreiro-Servente-Aux.Manutenção</t>
  </si>
  <si>
    <t>Custo Mensal dos EPIs - Pedreiro-Servente-Aux.Manutenção</t>
  </si>
  <si>
    <t>Porteiro/EPI</t>
  </si>
  <si>
    <t>Custo Anual dos EPIS - Porteiro</t>
  </si>
  <si>
    <t>Custo Mensal dos EPIs - Porteiro</t>
  </si>
  <si>
    <t>Kit de proteção para eletricista, compreendendo luva para baixa tensão, cinturão abdominal  de segurança com talabarte e cinto para ferramentas.(equipamentos necessários para o atendimento da NR-10)</t>
  </si>
  <si>
    <t>Manutenção Predial/Eletricista-Pedreiro-Servente-Aux.Manutenção/Equipamentos</t>
  </si>
  <si>
    <t xml:space="preserve">Licitação nº </t>
  </si>
  <si>
    <t xml:space="preserve">Nº do processo: </t>
  </si>
  <si>
    <t>23165.000917.2022-41</t>
  </si>
  <si>
    <t>30/2022</t>
  </si>
</sst>
</file>

<file path=xl/styles.xml><?xml version="1.0" encoding="utf-8"?>
<styleSheet xmlns="http://schemas.openxmlformats.org/spreadsheetml/2006/main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.0000"/>
    <numFmt numFmtId="166" formatCode="0.0000%"/>
    <numFmt numFmtId="167" formatCode="&quot;R$ &quot;#,##0.00"/>
    <numFmt numFmtId="168" formatCode="_(&quot;R$ &quot;* #,##0.00_);_(&quot;R$ &quot;* \(#,##0.00\);_(&quot;R$ &quot;* \-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99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u/>
      <sz val="10"/>
      <color rgb="FFFF0000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rgb="FF00000A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  <fill>
      <patternFill patternType="solid">
        <fgColor theme="6"/>
        <bgColor rgb="FFCC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rgb="FF000000"/>
      </left>
      <right/>
      <top style="medium">
        <color rgb="FF000000"/>
      </top>
      <bottom style="hair">
        <color indexed="8"/>
      </bottom>
      <diagonal/>
    </border>
    <border>
      <left/>
      <right/>
      <top style="medium">
        <color rgb="FF000000"/>
      </top>
      <bottom style="hair">
        <color indexed="8"/>
      </bottom>
      <diagonal/>
    </border>
    <border>
      <left style="hair">
        <color rgb="FF000000"/>
      </left>
      <right/>
      <top style="hair">
        <color indexed="8"/>
      </top>
      <bottom style="hair">
        <color indexed="8"/>
      </bottom>
      <diagonal/>
    </border>
    <border>
      <left style="hair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2">
    <xf numFmtId="0" fontId="0" fillId="0" borderId="0" xfId="0"/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8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center" vertical="center"/>
    </xf>
    <xf numFmtId="10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 wrapText="1"/>
    </xf>
    <xf numFmtId="166" fontId="2" fillId="0" borderId="6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10" fontId="8" fillId="0" borderId="0" xfId="3" applyNumberFormat="1" applyFont="1" applyAlignment="1">
      <alignment vertical="center"/>
    </xf>
    <xf numFmtId="10" fontId="6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right" vertical="center"/>
    </xf>
    <xf numFmtId="10" fontId="5" fillId="0" borderId="6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vertical="center"/>
    </xf>
    <xf numFmtId="10" fontId="2" fillId="0" borderId="6" xfId="0" applyNumberFormat="1" applyFont="1" applyBorder="1" applyAlignment="1">
      <alignment horizontal="center" vertical="center" wrapText="1"/>
    </xf>
    <xf numFmtId="10" fontId="5" fillId="0" borderId="6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 wrapText="1"/>
    </xf>
    <xf numFmtId="1" fontId="5" fillId="6" borderId="3" xfId="1" applyNumberFormat="1" applyFont="1" applyFill="1" applyBorder="1" applyAlignment="1">
      <alignment horizontal="center" vertical="center"/>
    </xf>
    <xf numFmtId="4" fontId="2" fillId="7" borderId="6" xfId="0" applyNumberFormat="1" applyFont="1" applyFill="1" applyBorder="1" applyAlignment="1">
      <alignment horizontal="right" vertical="center" wrapText="1"/>
    </xf>
    <xf numFmtId="0" fontId="10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 wrapText="1"/>
    </xf>
    <xf numFmtId="0" fontId="12" fillId="6" borderId="2" xfId="0" applyFont="1" applyFill="1" applyBorder="1" applyAlignment="1">
      <alignment vertical="center"/>
    </xf>
    <xf numFmtId="0" fontId="0" fillId="6" borderId="0" xfId="0" applyFont="1" applyFill="1" applyAlignment="1">
      <alignment vertical="center"/>
    </xf>
    <xf numFmtId="0" fontId="8" fillId="6" borderId="0" xfId="0" applyFont="1" applyFill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4" fontId="2" fillId="5" borderId="6" xfId="0" applyNumberFormat="1" applyFont="1" applyFill="1" applyBorder="1" applyAlignment="1">
      <alignment horizontal="right" vertical="center"/>
    </xf>
    <xf numFmtId="0" fontId="2" fillId="5" borderId="6" xfId="0" applyFont="1" applyFill="1" applyBorder="1" applyAlignment="1">
      <alignment horizontal="center" vertical="center"/>
    </xf>
    <xf numFmtId="166" fontId="2" fillId="5" borderId="6" xfId="0" applyNumberFormat="1" applyFont="1" applyFill="1" applyBorder="1" applyAlignment="1">
      <alignment horizontal="right" vertical="center"/>
    </xf>
    <xf numFmtId="4" fontId="2" fillId="5" borderId="6" xfId="0" applyNumberFormat="1" applyFont="1" applyFill="1" applyBorder="1" applyAlignment="1">
      <alignment horizontal="right" vertical="center" wrapText="1"/>
    </xf>
    <xf numFmtId="9" fontId="12" fillId="8" borderId="6" xfId="0" applyNumberFormat="1" applyFont="1" applyFill="1" applyBorder="1" applyAlignment="1">
      <alignment horizontal="center" vertical="center" wrapText="1"/>
    </xf>
    <xf numFmtId="165" fontId="12" fillId="7" borderId="6" xfId="0" applyNumberFormat="1" applyFont="1" applyFill="1" applyBorder="1" applyAlignment="1">
      <alignment horizontal="center" vertical="center" wrapText="1"/>
    </xf>
    <xf numFmtId="4" fontId="12" fillId="7" borderId="6" xfId="0" applyNumberFormat="1" applyFont="1" applyFill="1" applyBorder="1" applyAlignment="1">
      <alignment horizontal="right" vertical="center"/>
    </xf>
    <xf numFmtId="10" fontId="2" fillId="7" borderId="6" xfId="0" applyNumberFormat="1" applyFont="1" applyFill="1" applyBorder="1" applyAlignment="1">
      <alignment horizontal="right" vertical="center" wrapText="1"/>
    </xf>
    <xf numFmtId="10" fontId="2" fillId="8" borderId="6" xfId="0" applyNumberFormat="1" applyFont="1" applyFill="1" applyBorder="1" applyAlignment="1">
      <alignment horizontal="right" vertical="center" wrapText="1"/>
    </xf>
    <xf numFmtId="10" fontId="12" fillId="7" borderId="6" xfId="0" applyNumberFormat="1" applyFont="1" applyFill="1" applyBorder="1" applyAlignment="1">
      <alignment horizontal="center" vertical="center"/>
    </xf>
    <xf numFmtId="166" fontId="2" fillId="7" borderId="6" xfId="0" applyNumberFormat="1" applyFont="1" applyFill="1" applyBorder="1" applyAlignment="1">
      <alignment horizontal="right" vertical="center"/>
    </xf>
    <xf numFmtId="166" fontId="2" fillId="8" borderId="6" xfId="0" applyNumberFormat="1" applyFont="1" applyFill="1" applyBorder="1" applyAlignment="1">
      <alignment horizontal="right" vertical="center"/>
    </xf>
    <xf numFmtId="0" fontId="8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horizontal="right" vertical="center"/>
    </xf>
    <xf numFmtId="4" fontId="2" fillId="8" borderId="6" xfId="0" applyNumberFormat="1" applyFont="1" applyFill="1" applyBorder="1" applyAlignment="1">
      <alignment horizontal="right" vertical="center" wrapText="1"/>
    </xf>
    <xf numFmtId="167" fontId="12" fillId="7" borderId="6" xfId="0" applyNumberFormat="1" applyFont="1" applyFill="1" applyBorder="1" applyAlignment="1">
      <alignment horizontal="center" vertical="center"/>
    </xf>
    <xf numFmtId="3" fontId="12" fillId="7" borderId="6" xfId="0" applyNumberFormat="1" applyFont="1" applyFill="1" applyBorder="1" applyAlignment="1">
      <alignment horizontal="center" vertical="center"/>
    </xf>
    <xf numFmtId="9" fontId="12" fillId="7" borderId="6" xfId="3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168" fontId="9" fillId="0" borderId="14" xfId="2" applyNumberFormat="1" applyFont="1" applyFill="1" applyBorder="1" applyAlignment="1">
      <alignment horizontal="right" vertical="center"/>
    </xf>
    <xf numFmtId="0" fontId="0" fillId="0" borderId="14" xfId="0" applyFont="1" applyFill="1" applyBorder="1" applyAlignment="1">
      <alignment horizontal="center" vertical="center"/>
    </xf>
    <xf numFmtId="168" fontId="9" fillId="0" borderId="16" xfId="2" applyNumberFormat="1" applyFont="1" applyFill="1" applyBorder="1" applyAlignment="1">
      <alignment horizontal="right" vertical="center"/>
    </xf>
    <xf numFmtId="168" fontId="12" fillId="0" borderId="20" xfId="2" applyNumberFormat="1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168" fontId="9" fillId="0" borderId="28" xfId="2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6" borderId="0" xfId="0" applyFill="1"/>
    <xf numFmtId="0" fontId="0" fillId="0" borderId="39" xfId="0" applyBorder="1" applyAlignment="1">
      <alignment horizontal="center"/>
    </xf>
    <xf numFmtId="0" fontId="0" fillId="0" borderId="39" xfId="0" applyBorder="1"/>
    <xf numFmtId="0" fontId="16" fillId="0" borderId="39" xfId="0" applyFont="1" applyBorder="1" applyAlignment="1">
      <alignment horizontal="justify" readingOrder="1"/>
    </xf>
    <xf numFmtId="0" fontId="0" fillId="0" borderId="39" xfId="0" applyBorder="1" applyAlignment="1">
      <alignment horizontal="center" vertical="center"/>
    </xf>
    <xf numFmtId="8" fontId="0" fillId="0" borderId="39" xfId="0" applyNumberForma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wrapText="1"/>
    </xf>
    <xf numFmtId="49" fontId="0" fillId="0" borderId="39" xfId="0" applyNumberFormat="1" applyBorder="1" applyAlignment="1">
      <alignment horizontal="center"/>
    </xf>
    <xf numFmtId="43" fontId="0" fillId="9" borderId="39" xfId="1" applyFont="1" applyFill="1" applyBorder="1" applyAlignment="1">
      <alignment horizontal="center"/>
    </xf>
    <xf numFmtId="43" fontId="0" fillId="7" borderId="39" xfId="1" applyFont="1" applyFill="1" applyBorder="1" applyAlignment="1">
      <alignment horizontal="center"/>
    </xf>
    <xf numFmtId="43" fontId="0" fillId="0" borderId="0" xfId="0" applyNumberFormat="1"/>
    <xf numFmtId="43" fontId="0" fillId="10" borderId="39" xfId="0" applyNumberFormat="1" applyFill="1" applyBorder="1"/>
    <xf numFmtId="0" fontId="16" fillId="0" borderId="39" xfId="0" applyFont="1" applyBorder="1" applyAlignment="1">
      <alignment horizontal="left" vertical="center" readingOrder="1"/>
    </xf>
    <xf numFmtId="8" fontId="0" fillId="0" borderId="0" xfId="0" applyNumberFormat="1"/>
    <xf numFmtId="43" fontId="0" fillId="9" borderId="39" xfId="1" applyFont="1" applyFill="1" applyBorder="1"/>
    <xf numFmtId="43" fontId="0" fillId="7" borderId="39" xfId="1" applyFont="1" applyFill="1" applyBorder="1"/>
    <xf numFmtId="0" fontId="18" fillId="0" borderId="28" xfId="0" applyFont="1" applyFill="1" applyBorder="1" applyAlignment="1">
      <alignment horizontal="center" vertical="center"/>
    </xf>
    <xf numFmtId="168" fontId="12" fillId="0" borderId="27" xfId="2" applyNumberFormat="1" applyFont="1" applyFill="1" applyBorder="1" applyAlignment="1">
      <alignment horizontal="right" vertical="center"/>
    </xf>
    <xf numFmtId="168" fontId="12" fillId="0" borderId="24" xfId="2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9" fontId="2" fillId="5" borderId="1" xfId="0" applyNumberFormat="1" applyFont="1" applyFill="1" applyBorder="1" applyAlignment="1">
      <alignment horizontal="right" vertical="center" wrapText="1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2" fillId="5" borderId="1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5" fillId="6" borderId="7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6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0" fontId="9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/>
    </xf>
    <xf numFmtId="1" fontId="5" fillId="7" borderId="1" xfId="0" applyNumberFormat="1" applyFont="1" applyFill="1" applyBorder="1" applyAlignment="1">
      <alignment horizontal="center" vertical="center" wrapText="1"/>
    </xf>
    <xf numFmtId="1" fontId="5" fillId="7" borderId="3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7" borderId="1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 vertical="center"/>
    </xf>
    <xf numFmtId="4" fontId="5" fillId="7" borderId="1" xfId="0" applyNumberFormat="1" applyFont="1" applyFill="1" applyBorder="1" applyAlignment="1">
      <alignment horizontal="center" vertical="center" wrapText="1"/>
    </xf>
    <xf numFmtId="4" fontId="5" fillId="7" borderId="3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 wrapText="1"/>
    </xf>
    <xf numFmtId="0" fontId="2" fillId="7" borderId="3" xfId="0" applyFont="1" applyFill="1" applyBorder="1" applyAlignment="1">
      <alignment vertical="center" wrapText="1"/>
    </xf>
    <xf numFmtId="0" fontId="10" fillId="7" borderId="2" xfId="0" applyFont="1" applyFill="1" applyBorder="1" applyAlignment="1">
      <alignment vertical="center"/>
    </xf>
    <xf numFmtId="0" fontId="10" fillId="7" borderId="3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center"/>
    </xf>
    <xf numFmtId="0" fontId="15" fillId="4" borderId="3" xfId="0" applyFont="1" applyFill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0" fillId="0" borderId="38" xfId="0" applyFont="1" applyFill="1" applyBorder="1" applyAlignment="1">
      <alignment horizontal="left" vertical="center"/>
    </xf>
    <xf numFmtId="0" fontId="0" fillId="0" borderId="23" xfId="0" applyFont="1" applyFill="1" applyBorder="1" applyAlignment="1">
      <alignment horizontal="left" vertical="center"/>
    </xf>
    <xf numFmtId="0" fontId="14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vertical="center"/>
    </xf>
    <xf numFmtId="0" fontId="15" fillId="4" borderId="32" xfId="0" applyFont="1" applyFill="1" applyBorder="1" applyAlignment="1">
      <alignment vertical="center"/>
    </xf>
    <xf numFmtId="0" fontId="15" fillId="4" borderId="43" xfId="0" applyFont="1" applyFill="1" applyBorder="1" applyAlignment="1">
      <alignment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26" xfId="0" applyFont="1" applyFill="1" applyBorder="1" applyAlignment="1">
      <alignment horizontal="left" vertical="center"/>
    </xf>
    <xf numFmtId="0" fontId="17" fillId="0" borderId="40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17" fillId="0" borderId="42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7" fillId="0" borderId="39" xfId="0" applyFont="1" applyBorder="1" applyAlignment="1">
      <alignment horizontal="center"/>
    </xf>
  </cellXfs>
  <cellStyles count="4">
    <cellStyle name="Moeda" xfId="2" builtinId="4"/>
    <cellStyle name="Normal" xfId="0" builtinId="0"/>
    <cellStyle name="Porcentagem" xfId="3" builtinId="5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57"/>
  <sheetViews>
    <sheetView zoomScale="80" zoomScaleNormal="80" workbookViewId="0">
      <selection activeCell="A98" sqref="A98:I98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146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/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/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131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" M O D E L O "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147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" M O D E L O "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1212</v>
      </c>
      <c r="K26" s="35"/>
    </row>
    <row r="27" spans="1:11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>
        <v>0.3</v>
      </c>
      <c r="J27" s="9">
        <f>ROUND(I27*J26,2)</f>
        <v>363.6</v>
      </c>
      <c r="K27" s="35"/>
    </row>
    <row r="28" spans="1:11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>
        <v>0.2</v>
      </c>
      <c r="J28" s="9">
        <f>ROUND(I28*I21,2)</f>
        <v>242.4</v>
      </c>
      <c r="K28" s="35"/>
    </row>
    <row r="29" spans="1:11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>
        <v>0.2</v>
      </c>
      <c r="J29" s="9">
        <f>ROUND(I29*J26,2)</f>
        <v>242.4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2060.4</v>
      </c>
      <c r="K34" s="35"/>
    </row>
    <row r="35" spans="1:11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171.63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62.33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233.95999999999998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86.1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320.05999999999995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412.08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51.51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61.81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30.91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20.6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12.36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4.12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164.83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758.22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169.28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548.71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320.05999999999995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758.22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548.71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1626.99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10.28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0.82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3.91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4.01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1.48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78.5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99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2481.34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186.98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20.399999999999999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0.52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0.81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1.53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34.46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244.70000000000002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90.05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334.75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334.75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334.75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0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0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0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0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4121.1400000000003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206.06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4327.2000000000007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293.82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4621.0200000000004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395.72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85.91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104.14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1085.6500000000001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585.77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2060.4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1626.99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99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334.75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0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4121.1400000000003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1085.6500000000001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5206.7900000000009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ageMargins left="0.19685039370078741" right="0.19685039370078741" top="0.19685039370078741" bottom="0.19685039370078741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topLeftCell="A136" zoomScale="80" zoomScaleNormal="80" workbookViewId="0">
      <selection activeCell="A13" sqref="A13:J13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1.5703125" style="5" hidden="1" customWidth="1"/>
    <col min="12" max="12" width="13.28515625" style="5" hidden="1" customWidth="1"/>
    <col min="13" max="17" width="11.5703125" style="5" hidden="1" customWidth="1"/>
    <col min="18" max="19" width="15" style="5" hidden="1" customWidth="1"/>
    <col min="20" max="20" width="13.140625" style="5" hidden="1" customWidth="1"/>
    <col min="21" max="21" width="16.7109375" style="5" hidden="1" customWidth="1"/>
    <col min="22" max="22" width="12.85546875" style="5" hidden="1" customWidth="1"/>
    <col min="23" max="26" width="11.5703125" style="5" hidden="1" customWidth="1"/>
    <col min="27" max="16384" width="14.42578125" style="5" hidden="1"/>
  </cols>
  <sheetData>
    <row r="1" spans="1:10" ht="23.1" customHeight="1">
      <c r="A1" s="170" t="s">
        <v>138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</row>
    <row r="2" spans="1:10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</row>
    <row r="3" spans="1:10" s="6" customFormat="1" ht="23.1" customHeight="1">
      <c r="A3" s="100" t="s">
        <v>262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</row>
    <row r="4" spans="1:10" s="6" customFormat="1" ht="23.1" customHeight="1">
      <c r="A4" s="100" t="s">
        <v>261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</row>
    <row r="5" spans="1:10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</row>
    <row r="6" spans="1:10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</row>
    <row r="7" spans="1:10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</row>
    <row r="8" spans="1:10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</row>
    <row r="9" spans="1:10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</row>
    <row r="10" spans="1:10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131</v>
      </c>
      <c r="I10" s="157"/>
      <c r="J10" s="158"/>
    </row>
    <row r="11" spans="1:10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</row>
    <row r="12" spans="1:10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</row>
    <row r="13" spans="1:10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</row>
    <row r="14" spans="1:10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</row>
    <row r="15" spans="1:10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</row>
    <row r="16" spans="1:10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ELETRICISTA</v>
      </c>
      <c r="J16" s="156"/>
    </row>
    <row r="17" spans="1:10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126</v>
      </c>
      <c r="J17" s="150"/>
    </row>
    <row r="18" spans="1:10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2130</v>
      </c>
      <c r="J18" s="154"/>
    </row>
    <row r="19" spans="1:10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ELETRICISTA</v>
      </c>
      <c r="J19" s="150"/>
    </row>
    <row r="20" spans="1:10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</row>
    <row r="21" spans="1:10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</row>
    <row r="22" spans="1:10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</row>
    <row r="23" spans="1:10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</row>
    <row r="24" spans="1:10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</row>
    <row r="25" spans="1:10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</row>
    <row r="26" spans="1:10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2130</v>
      </c>
    </row>
    <row r="27" spans="1:10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>
        <v>0.3</v>
      </c>
      <c r="J27" s="9">
        <f>ROUND(I27*J26,2)</f>
        <v>639</v>
      </c>
    </row>
    <row r="28" spans="1:10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/>
      <c r="J28" s="9">
        <f>ROUND(I28*I21,2)</f>
        <v>0</v>
      </c>
    </row>
    <row r="29" spans="1:10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/>
      <c r="J29" s="9">
        <f>ROUND(I29*J26,2)</f>
        <v>0</v>
      </c>
    </row>
    <row r="30" spans="1:10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</row>
    <row r="31" spans="1:10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</row>
    <row r="32" spans="1:10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</row>
    <row r="33" spans="1:10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</row>
    <row r="34" spans="1:10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2769</v>
      </c>
    </row>
    <row r="35" spans="1:10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</row>
    <row r="36" spans="1:10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</row>
    <row r="37" spans="1:10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</row>
    <row r="38" spans="1:10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</row>
    <row r="39" spans="1:10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230.66</v>
      </c>
    </row>
    <row r="40" spans="1:10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83.76</v>
      </c>
    </row>
    <row r="41" spans="1:10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314.42</v>
      </c>
    </row>
    <row r="42" spans="1:10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115.71</v>
      </c>
    </row>
    <row r="43" spans="1:10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430.13</v>
      </c>
    </row>
    <row r="44" spans="1:10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</row>
    <row r="45" spans="1:10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</row>
    <row r="46" spans="1:10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</row>
    <row r="47" spans="1:10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553.79999999999995</v>
      </c>
    </row>
    <row r="48" spans="1:10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69.23</v>
      </c>
    </row>
    <row r="49" spans="1:10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83.07</v>
      </c>
    </row>
    <row r="50" spans="1:10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41.54</v>
      </c>
    </row>
    <row r="51" spans="1:10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27.69</v>
      </c>
    </row>
    <row r="52" spans="1:10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16.61</v>
      </c>
    </row>
    <row r="53" spans="1:10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5.54</v>
      </c>
    </row>
    <row r="54" spans="1:10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221.52</v>
      </c>
    </row>
    <row r="55" spans="1:10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1018.9999999999999</v>
      </c>
    </row>
    <row r="56" spans="1:10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</row>
    <row r="57" spans="1:10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</row>
    <row r="58" spans="1:10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</row>
    <row r="59" spans="1:10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114.2</v>
      </c>
    </row>
    <row r="60" spans="1:10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</row>
    <row r="61" spans="1:10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</row>
    <row r="62" spans="1:10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</row>
    <row r="63" spans="1:10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</row>
    <row r="64" spans="1:10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</row>
    <row r="65" spans="1:11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</row>
    <row r="66" spans="1:11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</row>
    <row r="67" spans="1:11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</row>
    <row r="68" spans="1:11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</row>
    <row r="69" spans="1:11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493.63</v>
      </c>
    </row>
    <row r="70" spans="1:11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</row>
    <row r="71" spans="1:11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</row>
    <row r="72" spans="1:11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</row>
    <row r="73" spans="1:11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430.13</v>
      </c>
    </row>
    <row r="74" spans="1:11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1018.9999999999999</v>
      </c>
    </row>
    <row r="75" spans="1:11" s="6" customFormat="1" ht="23.1" customHeight="1">
      <c r="A75" s="7" t="s">
        <v>45</v>
      </c>
      <c r="B75" s="177" t="s">
        <v>46</v>
      </c>
      <c r="C75" s="178"/>
      <c r="D75" s="178"/>
      <c r="E75" s="178"/>
      <c r="F75" s="178"/>
      <c r="G75" s="178"/>
      <c r="H75" s="178"/>
      <c r="I75" s="179"/>
      <c r="J75" s="8">
        <f>J69</f>
        <v>493.63</v>
      </c>
    </row>
    <row r="76" spans="1:11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1942.7599999999998</v>
      </c>
    </row>
    <row r="77" spans="1:11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</row>
    <row r="78" spans="1:11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</row>
    <row r="79" spans="1:11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</row>
    <row r="80" spans="1:11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13.81</v>
      </c>
      <c r="K80" s="19"/>
    </row>
    <row r="81" spans="1:11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1.1000000000000001</v>
      </c>
    </row>
    <row r="82" spans="1:11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5.26</v>
      </c>
    </row>
    <row r="83" spans="1:11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5.38</v>
      </c>
      <c r="K83" s="19"/>
    </row>
    <row r="84" spans="1:11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1.98</v>
      </c>
    </row>
    <row r="85" spans="1:11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105.5</v>
      </c>
    </row>
    <row r="86" spans="1:11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133.03</v>
      </c>
    </row>
    <row r="87" spans="1:11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</row>
    <row r="88" spans="1:11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</row>
    <row r="89" spans="1:11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3334.71</v>
      </c>
    </row>
    <row r="90" spans="1:11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</row>
    <row r="91" spans="1:11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</row>
    <row r="92" spans="1:11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251.29</v>
      </c>
    </row>
    <row r="93" spans="1:11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27.42</v>
      </c>
    </row>
    <row r="94" spans="1:11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0.69</v>
      </c>
    </row>
    <row r="95" spans="1:11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1.08</v>
      </c>
    </row>
    <row r="96" spans="1:11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2.0499999999999998</v>
      </c>
    </row>
    <row r="97" spans="1:10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46.32</v>
      </c>
    </row>
    <row r="98" spans="1:10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328.84999999999997</v>
      </c>
    </row>
    <row r="99" spans="1:10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121.02</v>
      </c>
    </row>
    <row r="100" spans="1:10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449.86999999999995</v>
      </c>
    </row>
    <row r="101" spans="1:10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</row>
    <row r="102" spans="1:10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</row>
    <row r="103" spans="1:10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</row>
    <row r="104" spans="1:10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</row>
    <row r="105" spans="1:10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</row>
    <row r="106" spans="1:10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</row>
    <row r="107" spans="1:10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0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</row>
    <row r="109" spans="1:10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</row>
    <row r="110" spans="1:10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449.86999999999995</v>
      </c>
    </row>
    <row r="111" spans="1:10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</row>
    <row r="112" spans="1:10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449.86999999999995</v>
      </c>
    </row>
    <row r="113" spans="1:22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</row>
    <row r="114" spans="1:22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</row>
    <row r="115" spans="1:22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</row>
    <row r="116" spans="1:22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59.99</v>
      </c>
    </row>
    <row r="117" spans="1:22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53.57</v>
      </c>
    </row>
    <row r="118" spans="1:22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11.03</v>
      </c>
    </row>
    <row r="119" spans="1:22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</row>
    <row r="120" spans="1:22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124.59</v>
      </c>
    </row>
    <row r="121" spans="1:22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</row>
    <row r="122" spans="1:22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Q122" s="1"/>
      <c r="R122" s="1"/>
      <c r="S122" s="1"/>
      <c r="T122" s="1"/>
      <c r="U122" s="1"/>
    </row>
    <row r="123" spans="1:22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Q123" s="1"/>
      <c r="R123" s="1"/>
      <c r="S123" s="1"/>
      <c r="T123" s="1"/>
      <c r="U123" s="1"/>
    </row>
    <row r="124" spans="1:22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5419.25</v>
      </c>
      <c r="Q124" s="2"/>
      <c r="R124" s="3"/>
      <c r="S124" s="3"/>
      <c r="T124" s="3"/>
      <c r="U124" s="1"/>
    </row>
    <row r="125" spans="1:22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270.95999999999998</v>
      </c>
      <c r="M125" s="19"/>
      <c r="Q125" s="4"/>
      <c r="R125" s="3"/>
      <c r="S125" s="3"/>
      <c r="T125" s="3"/>
      <c r="U125" s="1"/>
    </row>
    <row r="126" spans="1:22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5690.21</v>
      </c>
      <c r="M126" s="19"/>
      <c r="Q126" s="2"/>
      <c r="R126" s="3"/>
      <c r="S126" s="3"/>
      <c r="T126" s="3"/>
      <c r="U126" s="3"/>
      <c r="V126" s="25"/>
    </row>
    <row r="127" spans="1:22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386.37</v>
      </c>
      <c r="Q127" s="2"/>
      <c r="R127" s="3"/>
      <c r="S127" s="3"/>
      <c r="T127" s="3"/>
      <c r="U127" s="3"/>
      <c r="V127" s="25"/>
    </row>
    <row r="128" spans="1:22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6076.58</v>
      </c>
      <c r="Q128" s="2"/>
      <c r="R128" s="3"/>
      <c r="S128" s="3"/>
      <c r="T128" s="3"/>
      <c r="U128" s="3"/>
      <c r="V128" s="25"/>
    </row>
    <row r="129" spans="1:22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Q129" s="2"/>
      <c r="R129" s="3"/>
      <c r="S129" s="3"/>
      <c r="T129" s="3"/>
      <c r="U129" s="3"/>
      <c r="V129" s="25"/>
    </row>
    <row r="130" spans="1:22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Q130" s="2"/>
      <c r="R130" s="3"/>
      <c r="S130" s="3"/>
      <c r="T130" s="3"/>
      <c r="U130" s="3"/>
      <c r="V130" s="25"/>
    </row>
    <row r="131" spans="1:22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520.36</v>
      </c>
      <c r="Q131" s="4"/>
      <c r="R131" s="3"/>
      <c r="S131" s="3"/>
      <c r="T131" s="3"/>
      <c r="U131" s="3"/>
      <c r="V131" s="25"/>
    </row>
    <row r="132" spans="1:22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112.97</v>
      </c>
      <c r="Q132" s="2"/>
      <c r="R132" s="3"/>
      <c r="S132" s="3"/>
      <c r="T132" s="3"/>
      <c r="U132" s="3"/>
      <c r="V132" s="25"/>
    </row>
    <row r="133" spans="1:22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Q133" s="4"/>
      <c r="R133" s="3"/>
      <c r="S133" s="3"/>
      <c r="T133" s="3"/>
      <c r="U133" s="3"/>
      <c r="V133" s="25"/>
    </row>
    <row r="134" spans="1:22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Q134" s="1"/>
      <c r="R134" s="3"/>
      <c r="S134" s="3"/>
      <c r="T134" s="3"/>
      <c r="U134" s="3"/>
      <c r="V134" s="25"/>
    </row>
    <row r="135" spans="1:22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Q135" s="1"/>
      <c r="R135" s="3"/>
      <c r="S135" s="3"/>
      <c r="T135" s="3"/>
      <c r="U135" s="3"/>
      <c r="V135" s="25"/>
    </row>
    <row r="136" spans="1:22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</row>
    <row r="137" spans="1:22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136.94</v>
      </c>
    </row>
    <row r="138" spans="1:22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1427.6000000000001</v>
      </c>
    </row>
    <row r="139" spans="1:22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</row>
    <row r="140" spans="1:22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770.27</v>
      </c>
    </row>
    <row r="141" spans="1:22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</row>
    <row r="142" spans="1:22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</row>
    <row r="143" spans="1:22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</row>
    <row r="144" spans="1:22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</row>
    <row r="145" spans="1:10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</row>
    <row r="146" spans="1:10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</row>
    <row r="147" spans="1:10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2769</v>
      </c>
    </row>
    <row r="148" spans="1:10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1942.7599999999998</v>
      </c>
    </row>
    <row r="149" spans="1:10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133.03</v>
      </c>
    </row>
    <row r="150" spans="1:10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449.86999999999995</v>
      </c>
    </row>
    <row r="151" spans="1:10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124.59</v>
      </c>
    </row>
    <row r="152" spans="1:10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5419.25</v>
      </c>
    </row>
    <row r="153" spans="1:10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1427.6000000000001</v>
      </c>
    </row>
    <row r="154" spans="1:10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6846.85</v>
      </c>
    </row>
    <row r="155" spans="1:10" ht="44.25" hidden="1" customHeight="1"/>
    <row r="156" spans="1:10" ht="44.25" hidden="1" customHeight="1"/>
    <row r="157" spans="1:10" ht="44.25" hidden="1" customHeight="1"/>
  </sheetData>
  <mergeCells count="168">
    <mergeCell ref="A13:J13"/>
    <mergeCell ref="A14:J14"/>
    <mergeCell ref="A15:J15"/>
    <mergeCell ref="B16:H16"/>
    <mergeCell ref="B17:H17"/>
    <mergeCell ref="B18:H18"/>
    <mergeCell ref="B19:H19"/>
    <mergeCell ref="B20:H20"/>
    <mergeCell ref="I16:J16"/>
    <mergeCell ref="I17:J17"/>
    <mergeCell ref="I18:J18"/>
    <mergeCell ref="I20:J20"/>
    <mergeCell ref="A1:G1"/>
    <mergeCell ref="H1:J1"/>
    <mergeCell ref="B10:G10"/>
    <mergeCell ref="H10:J10"/>
    <mergeCell ref="H5:J5"/>
    <mergeCell ref="A5:G5"/>
    <mergeCell ref="B11:G11"/>
    <mergeCell ref="H11:J11"/>
    <mergeCell ref="A7:J7"/>
    <mergeCell ref="B8:G8"/>
    <mergeCell ref="H8:J8"/>
    <mergeCell ref="B9:G9"/>
    <mergeCell ref="H9:J9"/>
    <mergeCell ref="A2:J2"/>
    <mergeCell ref="A3:G3"/>
    <mergeCell ref="H3:J3"/>
    <mergeCell ref="A4:G4"/>
    <mergeCell ref="H4:J4"/>
    <mergeCell ref="B21:H21"/>
    <mergeCell ref="I21:J21"/>
    <mergeCell ref="I19:J19"/>
    <mergeCell ref="B46:H46"/>
    <mergeCell ref="B47:H47"/>
    <mergeCell ref="B48:H48"/>
    <mergeCell ref="B49:D49"/>
    <mergeCell ref="B50:H50"/>
    <mergeCell ref="A23:J23"/>
    <mergeCell ref="A24:J24"/>
    <mergeCell ref="B33:H33"/>
    <mergeCell ref="B29:H29"/>
    <mergeCell ref="B22:H22"/>
    <mergeCell ref="I22:J22"/>
    <mergeCell ref="B27:H27"/>
    <mergeCell ref="B26:G26"/>
    <mergeCell ref="B28:H28"/>
    <mergeCell ref="B25:H25"/>
    <mergeCell ref="B51:H51"/>
    <mergeCell ref="B40:H40"/>
    <mergeCell ref="A41:I41"/>
    <mergeCell ref="B42:I42"/>
    <mergeCell ref="A43:I43"/>
    <mergeCell ref="A44:J44"/>
    <mergeCell ref="A45:J45"/>
    <mergeCell ref="B30:H30"/>
    <mergeCell ref="B31:H31"/>
    <mergeCell ref="B32:H32"/>
    <mergeCell ref="A34:I34"/>
    <mergeCell ref="A35:J35"/>
    <mergeCell ref="A36:J36"/>
    <mergeCell ref="A37:J37"/>
    <mergeCell ref="B38:I38"/>
    <mergeCell ref="B39:H39"/>
    <mergeCell ref="B58:I58"/>
    <mergeCell ref="B59:I59"/>
    <mergeCell ref="B60:H60"/>
    <mergeCell ref="B61:H61"/>
    <mergeCell ref="B62:H62"/>
    <mergeCell ref="B63:I63"/>
    <mergeCell ref="B52:H52"/>
    <mergeCell ref="B53:H53"/>
    <mergeCell ref="B54:H54"/>
    <mergeCell ref="A55:H55"/>
    <mergeCell ref="A56:J56"/>
    <mergeCell ref="A57:J57"/>
    <mergeCell ref="A71:J71"/>
    <mergeCell ref="B72:I72"/>
    <mergeCell ref="A76:I76"/>
    <mergeCell ref="B64:H64"/>
    <mergeCell ref="B65:H65"/>
    <mergeCell ref="B67:I67"/>
    <mergeCell ref="B68:I68"/>
    <mergeCell ref="A69:I69"/>
    <mergeCell ref="A70:J70"/>
    <mergeCell ref="B66:H66"/>
    <mergeCell ref="B73:I73"/>
    <mergeCell ref="B74:I74"/>
    <mergeCell ref="B75:I75"/>
    <mergeCell ref="B83:I83"/>
    <mergeCell ref="B84:I84"/>
    <mergeCell ref="B85:H85"/>
    <mergeCell ref="A86:I86"/>
    <mergeCell ref="A87:J87"/>
    <mergeCell ref="A88:J88"/>
    <mergeCell ref="A77:J77"/>
    <mergeCell ref="A78:J78"/>
    <mergeCell ref="B79:I79"/>
    <mergeCell ref="B80:I80"/>
    <mergeCell ref="B81:I81"/>
    <mergeCell ref="B82:H82"/>
    <mergeCell ref="B95:I95"/>
    <mergeCell ref="B96:I96"/>
    <mergeCell ref="B97:I97"/>
    <mergeCell ref="A98:I98"/>
    <mergeCell ref="B99:I99"/>
    <mergeCell ref="A100:I100"/>
    <mergeCell ref="A89:I89"/>
    <mergeCell ref="A90:J90"/>
    <mergeCell ref="B91:I91"/>
    <mergeCell ref="B92:H92"/>
    <mergeCell ref="B93:I93"/>
    <mergeCell ref="B94:I94"/>
    <mergeCell ref="A107:J107"/>
    <mergeCell ref="A108:J108"/>
    <mergeCell ref="B109:I109"/>
    <mergeCell ref="B110:I110"/>
    <mergeCell ref="B111:I111"/>
    <mergeCell ref="A112:I112"/>
    <mergeCell ref="A101:J101"/>
    <mergeCell ref="B102:I102"/>
    <mergeCell ref="B103:I103"/>
    <mergeCell ref="A104:I104"/>
    <mergeCell ref="B105:I105"/>
    <mergeCell ref="A106:I106"/>
    <mergeCell ref="D143:J143"/>
    <mergeCell ref="A122:J122"/>
    <mergeCell ref="B123:H123"/>
    <mergeCell ref="A124:H124"/>
    <mergeCell ref="A113:J113"/>
    <mergeCell ref="A114:J114"/>
    <mergeCell ref="B115:I115"/>
    <mergeCell ref="B116:I116"/>
    <mergeCell ref="B117:I117"/>
    <mergeCell ref="B118:I118"/>
    <mergeCell ref="B125:H125"/>
    <mergeCell ref="A126:H126"/>
    <mergeCell ref="B127:H127"/>
    <mergeCell ref="A128:H128"/>
    <mergeCell ref="B129:H129"/>
    <mergeCell ref="B130:H130"/>
    <mergeCell ref="B119:I119"/>
    <mergeCell ref="A120:I120"/>
    <mergeCell ref="A121:J121"/>
    <mergeCell ref="B150:I150"/>
    <mergeCell ref="B151:I151"/>
    <mergeCell ref="A152:I152"/>
    <mergeCell ref="B153:I153"/>
    <mergeCell ref="A154:I154"/>
    <mergeCell ref="B131:H131"/>
    <mergeCell ref="B132:H132"/>
    <mergeCell ref="B133:H133"/>
    <mergeCell ref="B134:H134"/>
    <mergeCell ref="B135:H135"/>
    <mergeCell ref="B136:H136"/>
    <mergeCell ref="A144:J144"/>
    <mergeCell ref="A145:J145"/>
    <mergeCell ref="A146:I146"/>
    <mergeCell ref="B147:I147"/>
    <mergeCell ref="B148:I148"/>
    <mergeCell ref="B149:I149"/>
    <mergeCell ref="B137:H137"/>
    <mergeCell ref="A138:I138"/>
    <mergeCell ref="A139:J139"/>
    <mergeCell ref="A140:H140"/>
    <mergeCell ref="A141:C143"/>
    <mergeCell ref="D141:J141"/>
    <mergeCell ref="D142:J14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7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zoomScale="80" zoomScaleNormal="80" workbookViewId="0">
      <selection activeCell="B10" sqref="B10:G10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144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131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PEDREIRO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127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2325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PEDREIRO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2325</v>
      </c>
      <c r="K26" s="35"/>
    </row>
    <row r="27" spans="1:11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>
        <v>0.2</v>
      </c>
      <c r="J28" s="9">
        <f>ROUND(I28*I21,2)</f>
        <v>242.4</v>
      </c>
      <c r="K28" s="35"/>
    </row>
    <row r="29" spans="1:11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/>
      <c r="J29" s="9">
        <f>ROUND(I29*J26,2)</f>
        <v>0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2567.4</v>
      </c>
      <c r="K34" s="35"/>
    </row>
    <row r="35" spans="1:11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213.86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77.66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291.52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107.28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398.79999999999995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513.48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64.19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77.02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38.51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25.67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15.4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5.13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205.39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944.79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102.5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481.93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398.79999999999995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944.79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481.93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1825.52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12.8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1.02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4.88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4.99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1.84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97.82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123.35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3091.9100000000003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232.99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25.42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0.64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1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1.9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42.94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304.89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112.2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417.09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417.09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417.09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59.99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84.91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11.03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155.93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5089.2900000000009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254.46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5343.7500000000009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362.84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5706.5900000000011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488.68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106.09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128.6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1340.6699999999998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723.37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2567.4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1825.52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123.35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417.09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155.93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5089.2900000000009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1340.6699999999998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6429.9600000000009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3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zoomScale="80" zoomScaleNormal="80" workbookViewId="0">
      <selection activeCell="J154" sqref="A1:J154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145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131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SERVENTE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148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1580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SERVENTE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1580</v>
      </c>
      <c r="K26" s="35"/>
    </row>
    <row r="27" spans="1:11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>
        <v>0.2</v>
      </c>
      <c r="J28" s="9">
        <f>ROUND(I28*I21,2)</f>
        <v>242.4</v>
      </c>
      <c r="K28" s="35"/>
    </row>
    <row r="29" spans="1:11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/>
      <c r="J29" s="9">
        <f>ROUND(I29*J26,2)</f>
        <v>0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1822.4</v>
      </c>
      <c r="K34" s="35"/>
    </row>
    <row r="35" spans="1:11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151.81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55.13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206.94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76.150000000000006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283.09000000000003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364.48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45.56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54.67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27.34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18.22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10.93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3.64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145.79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670.62999999999988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147.19999999999999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526.63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283.09000000000003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670.62999999999988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526.63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1480.35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9.09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0.73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3.46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3.54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1.3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69.430000000000007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87.550000000000011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2194.7200000000003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165.38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18.05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0.46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0.71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1.35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30.48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216.43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79.650000000000006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296.08000000000004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296.08000000000004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296.08000000000004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59.99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84.91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11.03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155.93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3842.31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192.12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4034.43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273.94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4308.37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368.94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80.099999999999994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97.09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1012.19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546.13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1822.4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1480.35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87.550000000000011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296.08000000000004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155.93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3842.31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1012.19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4854.5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3" fitToHeight="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zoomScale="80" zoomScaleNormal="80" workbookViewId="0">
      <selection activeCell="A13" sqref="A13:J13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149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178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AUXILIAR DE MANUTENÇÃO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150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1314.19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AUXILIAR DE MANUTENÇÃO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1314.19</v>
      </c>
      <c r="K26" s="35"/>
    </row>
    <row r="27" spans="1:11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/>
      <c r="J28" s="9">
        <f>ROUND(I28*I21,2)</f>
        <v>0</v>
      </c>
      <c r="K28" s="35"/>
    </row>
    <row r="29" spans="1:11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>
        <v>0.2</v>
      </c>
      <c r="J29" s="9">
        <f>ROUND(I29*J26,2)</f>
        <v>262.83999999999997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1577.03</v>
      </c>
      <c r="K34" s="35"/>
    </row>
    <row r="35" spans="1:11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131.37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47.71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179.08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65.900000000000006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244.98000000000002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315.41000000000003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39.43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47.31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23.66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15.77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9.4600000000000009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3.15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126.16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580.35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163.15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542.58000000000004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244.98000000000002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580.35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542.58000000000004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1367.91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7.86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0.63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3.07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1.1299999999999999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60.08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75.77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1899.23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143.12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15.62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0.4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0.62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1.17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26.38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187.31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68.930000000000007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256.24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256.24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256.24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59.99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84.91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11.03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155.93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3432.8799999999997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171.64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3604.5199999999995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244.75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3849.2699999999995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329.63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71.56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86.74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904.31999999999994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487.93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1577.03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1367.91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75.77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256.24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155.93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3432.8799999999997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904.31999999999994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4337.2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fitToHeight="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topLeftCell="A142" zoomScale="80" zoomScaleNormal="80" workbookViewId="0">
      <selection activeCell="J154" sqref="A1:J154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151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178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JARDINEIRO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152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1314.09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JARDINEIRO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1314.09</v>
      </c>
      <c r="K26" s="35"/>
    </row>
    <row r="27" spans="1:11" s="6" customFormat="1" ht="23.1" customHeight="1">
      <c r="A27" s="7" t="s">
        <v>5</v>
      </c>
      <c r="B27" s="100" t="s">
        <v>141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142</v>
      </c>
      <c r="C28" s="95"/>
      <c r="D28" s="95"/>
      <c r="E28" s="95"/>
      <c r="F28" s="95"/>
      <c r="G28" s="95"/>
      <c r="H28" s="96"/>
      <c r="I28" s="46"/>
      <c r="J28" s="9">
        <f>ROUND(I28*I21,2)</f>
        <v>0</v>
      </c>
      <c r="K28" s="35"/>
    </row>
    <row r="29" spans="1:11" s="6" customFormat="1" ht="23.1" customHeight="1">
      <c r="A29" s="7" t="s">
        <v>7</v>
      </c>
      <c r="B29" s="100" t="s">
        <v>130</v>
      </c>
      <c r="C29" s="95"/>
      <c r="D29" s="95"/>
      <c r="E29" s="95"/>
      <c r="F29" s="95"/>
      <c r="G29" s="95"/>
      <c r="H29" s="96"/>
      <c r="I29" s="46">
        <v>0.2</v>
      </c>
      <c r="J29" s="9">
        <f>ROUND(I29*J26,2)</f>
        <v>262.82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3.1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1576.9099999999999</v>
      </c>
      <c r="K34" s="35"/>
    </row>
    <row r="35" spans="1:11" s="6" customFormat="1" ht="23.1" customHeight="1">
      <c r="A35" s="104"/>
      <c r="B35" s="95"/>
      <c r="C35" s="95"/>
      <c r="D35" s="95"/>
      <c r="E35" s="95"/>
      <c r="F35" s="95"/>
      <c r="G35" s="95"/>
      <c r="H35" s="95"/>
      <c r="I35" s="95"/>
      <c r="J35" s="95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131.36000000000001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47.7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179.06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65.89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244.95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315.38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39.42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47.31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23.65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15.77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9.4600000000000009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3.15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126.15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580.29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163.15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542.58000000000004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01" t="s">
        <v>110</v>
      </c>
      <c r="C73" s="102"/>
      <c r="D73" s="102"/>
      <c r="E73" s="102"/>
      <c r="F73" s="102"/>
      <c r="G73" s="102"/>
      <c r="H73" s="102"/>
      <c r="I73" s="103"/>
      <c r="J73" s="8">
        <f>J43</f>
        <v>244.95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580.29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542.58000000000004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1367.8200000000002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7.86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0.63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3.07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1.1299999999999999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60.08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75.77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1899.07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143.1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15.61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0.4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0.62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1.17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26.38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187.27999999999997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68.92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256.2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256.2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256.2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62.65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16.329999999999998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203.76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282.74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3559.4399999999996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177.97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3737.4099999999994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253.77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3991.1799999999994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341.78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74.2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89.94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937.66000000000008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505.91999999999996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1576.9099999999999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1367.8200000000002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75.77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256.2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282.74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3559.4399999999996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937.66000000000008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4497.0999999999995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3" fitToHeight="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zoomScale="80" zoomScaleNormal="80" workbookViewId="0">
      <selection activeCell="F12" sqref="F12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153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178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PORTEIRO DIURNO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154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1582.27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PORTEIRO DIURNO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1582.27</v>
      </c>
      <c r="K26" s="35"/>
    </row>
    <row r="27" spans="1:11" s="6" customFormat="1" ht="23.1" customHeight="1">
      <c r="A27" s="7" t="s">
        <v>5</v>
      </c>
      <c r="B27" s="100" t="s">
        <v>157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156</v>
      </c>
      <c r="C28" s="95"/>
      <c r="D28" s="95"/>
      <c r="E28" s="95"/>
      <c r="F28" s="95"/>
      <c r="G28" s="95"/>
      <c r="H28" s="96"/>
      <c r="I28" s="46"/>
      <c r="J28" s="9">
        <f>ROUND(I28*I21,2)</f>
        <v>0</v>
      </c>
      <c r="K28" s="35"/>
    </row>
    <row r="29" spans="1:11" s="6" customFormat="1" ht="23.1" customHeight="1">
      <c r="A29" s="7" t="s">
        <v>7</v>
      </c>
      <c r="B29" s="100" t="s">
        <v>155</v>
      </c>
      <c r="C29" s="95"/>
      <c r="D29" s="95"/>
      <c r="E29" s="95"/>
      <c r="F29" s="95"/>
      <c r="G29" s="95"/>
      <c r="H29" s="96"/>
      <c r="I29" s="46"/>
      <c r="J29" s="9">
        <f>ROUND(I29*J26,2)</f>
        <v>0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/>
      <c r="J30" s="9">
        <f>ROUND(I18/220*0.2*I30,2)</f>
        <v>0</v>
      </c>
      <c r="K30" s="35"/>
    </row>
    <row r="31" spans="1:11" s="6" customFormat="1" ht="22.5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/>
      <c r="J31" s="9">
        <f>ROUND((I18/220*1.2*1.5)*(I31*(60-52.5)/60),2)</f>
        <v>0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0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1582.27</v>
      </c>
      <c r="K34" s="35"/>
    </row>
    <row r="35" spans="1:11" s="6" customFormat="1" ht="23.1" customHeight="1">
      <c r="A35" s="180"/>
      <c r="B35" s="180"/>
      <c r="C35" s="180"/>
      <c r="D35" s="180"/>
      <c r="E35" s="180"/>
      <c r="F35" s="180"/>
      <c r="G35" s="180"/>
      <c r="H35" s="180"/>
      <c r="I35" s="180"/>
      <c r="J35" s="180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131.80000000000001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47.86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179.66000000000003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66.11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245.77000000000004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316.45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39.56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47.47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23.73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15.82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9.49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3.16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126.58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582.2600000000001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147.06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526.49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46" t="s">
        <v>110</v>
      </c>
      <c r="C73" s="147"/>
      <c r="D73" s="147"/>
      <c r="E73" s="147"/>
      <c r="F73" s="147"/>
      <c r="G73" s="147"/>
      <c r="H73" s="147"/>
      <c r="I73" s="148"/>
      <c r="J73" s="8">
        <f>J43</f>
        <v>245.77000000000004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582.2600000000001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526.49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1354.5200000000002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7.89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0.63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3.01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3.08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1.1299999999999999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60.28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76.02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1905.5199999999998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143.59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15.67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0.4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0.62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1.17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26.47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187.92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69.150000000000006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257.07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257.07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257.07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56.89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2.2999999999999998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3.37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62.559999999999995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3332.44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166.62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3499.06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237.59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3736.65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319.98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69.47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84.21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877.87000000000012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473.66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1582.27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1354.5200000000002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76.02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257.07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62.559999999999995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3332.44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877.87000000000012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4210.3100000000004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A36:J36"/>
    <mergeCell ref="A37:J37"/>
    <mergeCell ref="B38:I38"/>
    <mergeCell ref="B39:H39"/>
    <mergeCell ref="B40:H40"/>
    <mergeCell ref="A41:I41"/>
    <mergeCell ref="B27:H27"/>
    <mergeCell ref="B28:H28"/>
    <mergeCell ref="B29:H29"/>
    <mergeCell ref="B33:H33"/>
    <mergeCell ref="A34:I34"/>
    <mergeCell ref="A35:J35"/>
    <mergeCell ref="B48:H48"/>
    <mergeCell ref="B49:D49"/>
    <mergeCell ref="B50:H50"/>
    <mergeCell ref="B51:H51"/>
    <mergeCell ref="B52:H52"/>
    <mergeCell ref="B53:H53"/>
    <mergeCell ref="B42:I42"/>
    <mergeCell ref="A43:I43"/>
    <mergeCell ref="A44:J44"/>
    <mergeCell ref="A45:J45"/>
    <mergeCell ref="B46:H46"/>
    <mergeCell ref="B47:H47"/>
    <mergeCell ref="B60:H60"/>
    <mergeCell ref="B61:H61"/>
    <mergeCell ref="B62:H62"/>
    <mergeCell ref="B63:I63"/>
    <mergeCell ref="B64:H64"/>
    <mergeCell ref="B65:H65"/>
    <mergeCell ref="B54:H54"/>
    <mergeCell ref="A55:H55"/>
    <mergeCell ref="A56:J56"/>
    <mergeCell ref="A57:J57"/>
    <mergeCell ref="B58:I58"/>
    <mergeCell ref="B59:I59"/>
    <mergeCell ref="B72:I72"/>
    <mergeCell ref="A76:I76"/>
    <mergeCell ref="A77:J77"/>
    <mergeCell ref="B75:I75"/>
    <mergeCell ref="B66:H66"/>
    <mergeCell ref="B67:I67"/>
    <mergeCell ref="B68:I68"/>
    <mergeCell ref="A69:I69"/>
    <mergeCell ref="A70:J70"/>
    <mergeCell ref="A71:J71"/>
    <mergeCell ref="B84:I84"/>
    <mergeCell ref="B85:H85"/>
    <mergeCell ref="A86:I86"/>
    <mergeCell ref="A87:J87"/>
    <mergeCell ref="A88:J88"/>
    <mergeCell ref="A89:I89"/>
    <mergeCell ref="A78:J78"/>
    <mergeCell ref="B79:I79"/>
    <mergeCell ref="B80:I80"/>
    <mergeCell ref="B81:I81"/>
    <mergeCell ref="B82:H82"/>
    <mergeCell ref="B83:I83"/>
    <mergeCell ref="B96:I96"/>
    <mergeCell ref="B97:I97"/>
    <mergeCell ref="A98:I98"/>
    <mergeCell ref="B99:I99"/>
    <mergeCell ref="A100:I100"/>
    <mergeCell ref="A101:J101"/>
    <mergeCell ref="A90:J90"/>
    <mergeCell ref="B91:I91"/>
    <mergeCell ref="B92:H92"/>
    <mergeCell ref="B93:I93"/>
    <mergeCell ref="B94:I94"/>
    <mergeCell ref="B95:I95"/>
    <mergeCell ref="A108:J108"/>
    <mergeCell ref="B109:I109"/>
    <mergeCell ref="B110:I110"/>
    <mergeCell ref="B111:I111"/>
    <mergeCell ref="A112:I112"/>
    <mergeCell ref="A113:J113"/>
    <mergeCell ref="B102:I102"/>
    <mergeCell ref="B103:I103"/>
    <mergeCell ref="A104:I104"/>
    <mergeCell ref="B105:I105"/>
    <mergeCell ref="A106:I106"/>
    <mergeCell ref="A107:J107"/>
    <mergeCell ref="A120:I120"/>
    <mergeCell ref="A121:J121"/>
    <mergeCell ref="A122:J122"/>
    <mergeCell ref="B123:H123"/>
    <mergeCell ref="A124:H124"/>
    <mergeCell ref="B125:H125"/>
    <mergeCell ref="A114:J114"/>
    <mergeCell ref="B115:I115"/>
    <mergeCell ref="B116:I116"/>
    <mergeCell ref="B117:I117"/>
    <mergeCell ref="B118:I118"/>
    <mergeCell ref="B119:I119"/>
    <mergeCell ref="B133:H133"/>
    <mergeCell ref="B134:H134"/>
    <mergeCell ref="B135:H135"/>
    <mergeCell ref="B136:H136"/>
    <mergeCell ref="B137:H137"/>
    <mergeCell ref="A126:H126"/>
    <mergeCell ref="B127:H127"/>
    <mergeCell ref="A128:H128"/>
    <mergeCell ref="B129:H129"/>
    <mergeCell ref="B130:H130"/>
    <mergeCell ref="B131:H131"/>
    <mergeCell ref="B150:I150"/>
    <mergeCell ref="B151:I151"/>
    <mergeCell ref="A152:I152"/>
    <mergeCell ref="B153:I153"/>
    <mergeCell ref="A154:I154"/>
    <mergeCell ref="B30:H30"/>
    <mergeCell ref="B31:H31"/>
    <mergeCell ref="B32:H32"/>
    <mergeCell ref="B73:I73"/>
    <mergeCell ref="B74:I74"/>
    <mergeCell ref="A144:J144"/>
    <mergeCell ref="A145:J145"/>
    <mergeCell ref="A146:I146"/>
    <mergeCell ref="B147:I147"/>
    <mergeCell ref="B148:I148"/>
    <mergeCell ref="B149:I149"/>
    <mergeCell ref="A138:I138"/>
    <mergeCell ref="A139:J139"/>
    <mergeCell ref="A140:H140"/>
    <mergeCell ref="A141:C143"/>
    <mergeCell ref="D141:J141"/>
    <mergeCell ref="D142:J142"/>
    <mergeCell ref="D143:J143"/>
    <mergeCell ref="B132:H132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3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57"/>
  <sheetViews>
    <sheetView zoomScale="80" zoomScaleNormal="80" workbookViewId="0">
      <selection activeCell="E12" sqref="E12"/>
    </sheetView>
  </sheetViews>
  <sheetFormatPr defaultColWidth="0" defaultRowHeight="23.1" customHeight="1" zeroHeight="1"/>
  <cols>
    <col min="1" max="1" width="10.7109375" style="5" customWidth="1"/>
    <col min="2" max="10" width="15.7109375" style="5" customWidth="1"/>
    <col min="11" max="11" width="1.140625" style="5" customWidth="1"/>
    <col min="12" max="12" width="11.5703125" style="5" hidden="1" customWidth="1"/>
    <col min="13" max="13" width="13.28515625" style="5" hidden="1" customWidth="1"/>
    <col min="14" max="18" width="11.5703125" style="5" hidden="1" customWidth="1"/>
    <col min="19" max="20" width="15" style="5" hidden="1" customWidth="1"/>
    <col min="21" max="21" width="13.140625" style="5" hidden="1" customWidth="1"/>
    <col min="22" max="22" width="16.7109375" style="5" hidden="1" customWidth="1"/>
    <col min="23" max="23" width="12.85546875" style="5" hidden="1" customWidth="1"/>
    <col min="24" max="26" width="11.5703125" style="5" hidden="1" customWidth="1"/>
    <col min="27" max="16384" width="14.42578125" style="5" hidden="1"/>
  </cols>
  <sheetData>
    <row r="1" spans="1:11" ht="23.1" customHeight="1">
      <c r="A1" s="170" t="s">
        <v>159</v>
      </c>
      <c r="B1" s="171"/>
      <c r="C1" s="171"/>
      <c r="D1" s="171"/>
      <c r="E1" s="171"/>
      <c r="F1" s="171"/>
      <c r="G1" s="172"/>
      <c r="H1" s="170" t="s">
        <v>106</v>
      </c>
      <c r="I1" s="171"/>
      <c r="J1" s="172"/>
      <c r="K1" s="34"/>
    </row>
    <row r="2" spans="1:11" ht="23.1" customHeight="1">
      <c r="A2" s="173" t="s">
        <v>107</v>
      </c>
      <c r="B2" s="174"/>
      <c r="C2" s="174"/>
      <c r="D2" s="174"/>
      <c r="E2" s="174"/>
      <c r="F2" s="174"/>
      <c r="G2" s="174"/>
      <c r="H2" s="174"/>
      <c r="I2" s="174"/>
      <c r="J2" s="175"/>
      <c r="K2" s="34"/>
    </row>
    <row r="3" spans="1:11" s="6" customFormat="1" ht="23.1" customHeight="1">
      <c r="A3" s="100" t="s">
        <v>0</v>
      </c>
      <c r="B3" s="164"/>
      <c r="C3" s="164"/>
      <c r="D3" s="164"/>
      <c r="E3" s="164"/>
      <c r="F3" s="164"/>
      <c r="G3" s="96"/>
      <c r="H3" s="155" t="s">
        <v>263</v>
      </c>
      <c r="I3" s="165"/>
      <c r="J3" s="156"/>
      <c r="K3" s="35"/>
    </row>
    <row r="4" spans="1:11" s="6" customFormat="1" ht="23.1" customHeight="1">
      <c r="A4" s="100" t="s">
        <v>1</v>
      </c>
      <c r="B4" s="176"/>
      <c r="C4" s="176"/>
      <c r="D4" s="176"/>
      <c r="E4" s="176"/>
      <c r="F4" s="176"/>
      <c r="G4" s="96"/>
      <c r="H4" s="155" t="s">
        <v>264</v>
      </c>
      <c r="I4" s="165"/>
      <c r="J4" s="156"/>
      <c r="K4" s="35"/>
    </row>
    <row r="5" spans="1:11" s="6" customFormat="1" ht="23.1" customHeight="1">
      <c r="A5" s="101" t="s">
        <v>108</v>
      </c>
      <c r="B5" s="164"/>
      <c r="C5" s="164"/>
      <c r="D5" s="164"/>
      <c r="E5" s="164"/>
      <c r="F5" s="164"/>
      <c r="G5" s="103"/>
      <c r="H5" s="155"/>
      <c r="I5" s="165"/>
      <c r="J5" s="156"/>
      <c r="K5" s="35"/>
    </row>
    <row r="6" spans="1:11" s="6" customFormat="1" ht="23.1" customHeight="1">
      <c r="A6" s="50"/>
      <c r="B6" s="49"/>
      <c r="C6" s="49"/>
      <c r="D6" s="49"/>
      <c r="E6" s="49"/>
      <c r="F6" s="49"/>
      <c r="G6" s="50"/>
      <c r="H6" s="51"/>
      <c r="I6" s="49"/>
      <c r="J6" s="49"/>
      <c r="K6" s="35"/>
    </row>
    <row r="7" spans="1:11" s="6" customFormat="1" ht="23.1" customHeight="1">
      <c r="A7" s="166" t="s">
        <v>2</v>
      </c>
      <c r="B7" s="98"/>
      <c r="C7" s="98"/>
      <c r="D7" s="98"/>
      <c r="E7" s="98"/>
      <c r="F7" s="98"/>
      <c r="G7" s="98"/>
      <c r="H7" s="98"/>
      <c r="I7" s="98"/>
      <c r="J7" s="99"/>
      <c r="K7" s="35"/>
    </row>
    <row r="8" spans="1:11" s="6" customFormat="1" ht="23.1" customHeight="1">
      <c r="A8" s="7" t="s">
        <v>3</v>
      </c>
      <c r="B8" s="100" t="s">
        <v>4</v>
      </c>
      <c r="C8" s="95"/>
      <c r="D8" s="95"/>
      <c r="E8" s="95"/>
      <c r="F8" s="95"/>
      <c r="G8" s="96"/>
      <c r="H8" s="151"/>
      <c r="I8" s="167"/>
      <c r="J8" s="168"/>
      <c r="K8" s="35"/>
    </row>
    <row r="9" spans="1:11" s="6" customFormat="1" ht="23.1" customHeight="1">
      <c r="A9" s="7" t="s">
        <v>5</v>
      </c>
      <c r="B9" s="100" t="s">
        <v>6</v>
      </c>
      <c r="C9" s="95"/>
      <c r="D9" s="95"/>
      <c r="E9" s="95"/>
      <c r="F9" s="95"/>
      <c r="G9" s="96"/>
      <c r="H9" s="169" t="s">
        <v>109</v>
      </c>
      <c r="I9" s="167"/>
      <c r="J9" s="168"/>
      <c r="K9" s="35"/>
    </row>
    <row r="10" spans="1:11" s="6" customFormat="1" ht="23.1" customHeight="1">
      <c r="A10" s="7" t="s">
        <v>7</v>
      </c>
      <c r="B10" s="100" t="s">
        <v>8</v>
      </c>
      <c r="C10" s="95"/>
      <c r="D10" s="95"/>
      <c r="E10" s="95"/>
      <c r="F10" s="95"/>
      <c r="G10" s="96"/>
      <c r="H10" s="155" t="s">
        <v>178</v>
      </c>
      <c r="I10" s="157"/>
      <c r="J10" s="158"/>
      <c r="K10" s="35"/>
    </row>
    <row r="11" spans="1:11" s="6" customFormat="1" ht="23.1" customHeight="1">
      <c r="A11" s="7" t="s">
        <v>9</v>
      </c>
      <c r="B11" s="100" t="s">
        <v>10</v>
      </c>
      <c r="C11" s="95"/>
      <c r="D11" s="95"/>
      <c r="E11" s="95"/>
      <c r="F11" s="95"/>
      <c r="G11" s="96"/>
      <c r="H11" s="155">
        <v>12</v>
      </c>
      <c r="I11" s="159"/>
      <c r="J11" s="160"/>
      <c r="K11" s="35"/>
    </row>
    <row r="12" spans="1:11" s="6" customFormat="1" ht="23.1" customHeight="1">
      <c r="A12" s="51"/>
      <c r="B12" s="32"/>
      <c r="C12" s="52"/>
      <c r="D12" s="52"/>
      <c r="E12" s="52"/>
      <c r="F12" s="52"/>
      <c r="G12" s="52"/>
      <c r="H12" s="51"/>
      <c r="I12" s="31"/>
      <c r="J12" s="31"/>
      <c r="K12" s="35"/>
    </row>
    <row r="13" spans="1:11" s="6" customFormat="1" ht="23.1" customHeight="1">
      <c r="A13" s="161" t="s">
        <v>137</v>
      </c>
      <c r="B13" s="162"/>
      <c r="C13" s="162"/>
      <c r="D13" s="162"/>
      <c r="E13" s="162"/>
      <c r="F13" s="162"/>
      <c r="G13" s="162"/>
      <c r="H13" s="162"/>
      <c r="I13" s="162"/>
      <c r="J13" s="163"/>
      <c r="K13" s="35"/>
    </row>
    <row r="14" spans="1:11" s="6" customFormat="1" ht="23.1" customHeight="1">
      <c r="A14" s="136"/>
      <c r="B14" s="118"/>
      <c r="C14" s="118"/>
      <c r="D14" s="118"/>
      <c r="E14" s="118"/>
      <c r="F14" s="118"/>
      <c r="G14" s="118"/>
      <c r="H14" s="118"/>
      <c r="I14" s="118"/>
      <c r="J14" s="119"/>
      <c r="K14" s="35"/>
    </row>
    <row r="15" spans="1:11" s="6" customFormat="1" ht="23.1" customHeight="1">
      <c r="A15" s="132" t="s">
        <v>11</v>
      </c>
      <c r="B15" s="98"/>
      <c r="C15" s="98"/>
      <c r="D15" s="98"/>
      <c r="E15" s="98"/>
      <c r="F15" s="98"/>
      <c r="G15" s="98"/>
      <c r="H15" s="98"/>
      <c r="I15" s="98"/>
      <c r="J15" s="99"/>
      <c r="K15" s="35"/>
    </row>
    <row r="16" spans="1:11" s="6" customFormat="1" ht="23.1" customHeight="1">
      <c r="A16" s="7">
        <v>1</v>
      </c>
      <c r="B16" s="146" t="s">
        <v>12</v>
      </c>
      <c r="C16" s="147"/>
      <c r="D16" s="147"/>
      <c r="E16" s="147"/>
      <c r="F16" s="147"/>
      <c r="G16" s="147"/>
      <c r="H16" s="148"/>
      <c r="I16" s="155" t="str">
        <f>A1</f>
        <v>PORTEIRO NOTURNO</v>
      </c>
      <c r="J16" s="156"/>
      <c r="K16" s="35"/>
    </row>
    <row r="17" spans="1:11" s="6" customFormat="1" ht="23.1" customHeight="1">
      <c r="A17" s="7">
        <v>2</v>
      </c>
      <c r="B17" s="146" t="s">
        <v>13</v>
      </c>
      <c r="C17" s="147"/>
      <c r="D17" s="147"/>
      <c r="E17" s="147"/>
      <c r="F17" s="147"/>
      <c r="G17" s="147"/>
      <c r="H17" s="148"/>
      <c r="I17" s="149" t="s">
        <v>154</v>
      </c>
      <c r="J17" s="150"/>
      <c r="K17" s="35"/>
    </row>
    <row r="18" spans="1:11" s="6" customFormat="1" ht="23.1" customHeight="1">
      <c r="A18" s="7">
        <v>3</v>
      </c>
      <c r="B18" s="146" t="s">
        <v>14</v>
      </c>
      <c r="C18" s="147"/>
      <c r="D18" s="147"/>
      <c r="E18" s="147"/>
      <c r="F18" s="147"/>
      <c r="G18" s="147"/>
      <c r="H18" s="148"/>
      <c r="I18" s="153">
        <v>1582.27</v>
      </c>
      <c r="J18" s="154"/>
      <c r="K18" s="35"/>
    </row>
    <row r="19" spans="1:11" s="6" customFormat="1" ht="23.1" customHeight="1">
      <c r="A19" s="7">
        <v>4</v>
      </c>
      <c r="B19" s="146" t="s">
        <v>15</v>
      </c>
      <c r="C19" s="147"/>
      <c r="D19" s="147"/>
      <c r="E19" s="147"/>
      <c r="F19" s="147"/>
      <c r="G19" s="147"/>
      <c r="H19" s="148"/>
      <c r="I19" s="149" t="str">
        <f>I16</f>
        <v>PORTEIRO NOTURNO</v>
      </c>
      <c r="J19" s="150"/>
      <c r="K19" s="35"/>
    </row>
    <row r="20" spans="1:11" s="6" customFormat="1" ht="23.1" customHeight="1">
      <c r="A20" s="7">
        <v>5</v>
      </c>
      <c r="B20" s="146" t="s">
        <v>16</v>
      </c>
      <c r="C20" s="147"/>
      <c r="D20" s="147"/>
      <c r="E20" s="147"/>
      <c r="F20" s="147"/>
      <c r="G20" s="147"/>
      <c r="H20" s="148"/>
      <c r="I20" s="151">
        <v>44562</v>
      </c>
      <c r="J20" s="152"/>
      <c r="K20" s="35"/>
    </row>
    <row r="21" spans="1:11" s="6" customFormat="1" ht="23.1" customHeight="1">
      <c r="A21" s="7">
        <v>6</v>
      </c>
      <c r="B21" s="100" t="s">
        <v>133</v>
      </c>
      <c r="C21" s="95"/>
      <c r="D21" s="95"/>
      <c r="E21" s="95"/>
      <c r="F21" s="95"/>
      <c r="G21" s="95"/>
      <c r="H21" s="96"/>
      <c r="I21" s="153">
        <v>1212</v>
      </c>
      <c r="J21" s="154"/>
      <c r="K21" s="35"/>
    </row>
    <row r="22" spans="1:11" s="6" customFormat="1" ht="23.1" customHeight="1">
      <c r="A22" s="7">
        <v>7</v>
      </c>
      <c r="B22" s="100" t="s">
        <v>134</v>
      </c>
      <c r="C22" s="95"/>
      <c r="D22" s="95"/>
      <c r="E22" s="95"/>
      <c r="F22" s="95"/>
      <c r="G22" s="95"/>
      <c r="H22" s="96"/>
      <c r="I22" s="142">
        <v>44</v>
      </c>
      <c r="J22" s="143"/>
      <c r="K22" s="35"/>
    </row>
    <row r="23" spans="1:11" s="6" customFormat="1" ht="23.1" customHeight="1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35"/>
    </row>
    <row r="24" spans="1:11" s="6" customFormat="1" ht="23.1" customHeight="1">
      <c r="A24" s="100" t="s">
        <v>17</v>
      </c>
      <c r="B24" s="95"/>
      <c r="C24" s="95"/>
      <c r="D24" s="95"/>
      <c r="E24" s="95"/>
      <c r="F24" s="95"/>
      <c r="G24" s="95"/>
      <c r="H24" s="95"/>
      <c r="I24" s="95"/>
      <c r="J24" s="96"/>
      <c r="K24" s="35"/>
    </row>
    <row r="25" spans="1:11" s="6" customFormat="1" ht="23.1" customHeight="1">
      <c r="A25" s="36">
        <v>1</v>
      </c>
      <c r="B25" s="132" t="s">
        <v>18</v>
      </c>
      <c r="C25" s="144"/>
      <c r="D25" s="144"/>
      <c r="E25" s="144"/>
      <c r="F25" s="144"/>
      <c r="G25" s="144"/>
      <c r="H25" s="145"/>
      <c r="I25" s="36" t="s">
        <v>29</v>
      </c>
      <c r="J25" s="36" t="s">
        <v>23</v>
      </c>
      <c r="K25" s="35"/>
    </row>
    <row r="26" spans="1:11" s="6" customFormat="1" ht="23.1" customHeight="1">
      <c r="A26" s="7" t="s">
        <v>3</v>
      </c>
      <c r="B26" s="101" t="s">
        <v>128</v>
      </c>
      <c r="C26" s="102"/>
      <c r="D26" s="102"/>
      <c r="E26" s="102"/>
      <c r="F26" s="102"/>
      <c r="G26" s="102"/>
      <c r="H26" s="33"/>
      <c r="I26" s="29"/>
      <c r="J26" s="8">
        <f>IF((ROUND(I18/44*I22,2))&gt;I21,(ROUND(I18/44*I22,2)),I21)</f>
        <v>1582.27</v>
      </c>
      <c r="K26" s="35"/>
    </row>
    <row r="27" spans="1:11" s="6" customFormat="1" ht="23.1" customHeight="1">
      <c r="A27" s="7" t="s">
        <v>5</v>
      </c>
      <c r="B27" s="100" t="s">
        <v>157</v>
      </c>
      <c r="C27" s="95"/>
      <c r="D27" s="95"/>
      <c r="E27" s="95"/>
      <c r="F27" s="95"/>
      <c r="G27" s="95"/>
      <c r="H27" s="96"/>
      <c r="I27" s="46"/>
      <c r="J27" s="9">
        <f>ROUND(I27*J26,2)</f>
        <v>0</v>
      </c>
      <c r="K27" s="35"/>
    </row>
    <row r="28" spans="1:11" s="6" customFormat="1" ht="23.1" customHeight="1">
      <c r="A28" s="7" t="s">
        <v>7</v>
      </c>
      <c r="B28" s="100" t="s">
        <v>156</v>
      </c>
      <c r="C28" s="95"/>
      <c r="D28" s="95"/>
      <c r="E28" s="95"/>
      <c r="F28" s="95"/>
      <c r="G28" s="95"/>
      <c r="H28" s="96"/>
      <c r="I28" s="46"/>
      <c r="J28" s="9">
        <f>ROUND(I28*I21,2)</f>
        <v>0</v>
      </c>
      <c r="K28" s="35"/>
    </row>
    <row r="29" spans="1:11" s="6" customFormat="1" ht="23.1" customHeight="1">
      <c r="A29" s="7" t="s">
        <v>7</v>
      </c>
      <c r="B29" s="100" t="s">
        <v>155</v>
      </c>
      <c r="C29" s="95"/>
      <c r="D29" s="95"/>
      <c r="E29" s="95"/>
      <c r="F29" s="95"/>
      <c r="G29" s="95"/>
      <c r="H29" s="96"/>
      <c r="I29" s="46"/>
      <c r="J29" s="9">
        <f>ROUND(I29*J26,2)</f>
        <v>0</v>
      </c>
      <c r="K29" s="35"/>
    </row>
    <row r="30" spans="1:11" s="6" customFormat="1" ht="23.1" customHeight="1">
      <c r="A30" s="7" t="s">
        <v>9</v>
      </c>
      <c r="B30" s="100" t="s">
        <v>160</v>
      </c>
      <c r="C30" s="95"/>
      <c r="D30" s="95"/>
      <c r="E30" s="95"/>
      <c r="F30" s="95"/>
      <c r="G30" s="95"/>
      <c r="H30" s="96"/>
      <c r="I30" s="56">
        <v>22</v>
      </c>
      <c r="J30" s="9">
        <f>ROUND(I18/220*0.2*I30,2)</f>
        <v>31.65</v>
      </c>
      <c r="K30" s="35"/>
    </row>
    <row r="31" spans="1:11" s="6" customFormat="1" ht="22.5" customHeight="1">
      <c r="A31" s="7" t="s">
        <v>36</v>
      </c>
      <c r="B31" s="100" t="s">
        <v>161</v>
      </c>
      <c r="C31" s="95"/>
      <c r="D31" s="95"/>
      <c r="E31" s="95"/>
      <c r="F31" s="95"/>
      <c r="G31" s="95"/>
      <c r="H31" s="96"/>
      <c r="I31" s="56">
        <v>22</v>
      </c>
      <c r="J31" s="9">
        <f>ROUND((I18/220*1.2*1.5)*(I31*(60-52.5)/60),2)</f>
        <v>35.6</v>
      </c>
      <c r="K31" s="35"/>
    </row>
    <row r="32" spans="1:11" s="6" customFormat="1" ht="23.1" customHeight="1">
      <c r="A32" s="7" t="s">
        <v>38</v>
      </c>
      <c r="B32" s="100" t="s">
        <v>158</v>
      </c>
      <c r="C32" s="95"/>
      <c r="D32" s="95"/>
      <c r="E32" s="95"/>
      <c r="F32" s="95"/>
      <c r="G32" s="95"/>
      <c r="H32" s="96"/>
      <c r="I32" s="9"/>
      <c r="J32" s="9">
        <f>ROUND((J31+J30)*0.2,2)</f>
        <v>13.45</v>
      </c>
      <c r="K32" s="35"/>
    </row>
    <row r="33" spans="1:11" s="6" customFormat="1" ht="23.1" customHeight="1">
      <c r="A33" s="7" t="s">
        <v>40</v>
      </c>
      <c r="B33" s="100" t="s">
        <v>129</v>
      </c>
      <c r="C33" s="95"/>
      <c r="D33" s="95"/>
      <c r="E33" s="95"/>
      <c r="F33" s="95"/>
      <c r="G33" s="95"/>
      <c r="H33" s="96"/>
      <c r="I33" s="9"/>
      <c r="J33" s="9"/>
      <c r="K33" s="35"/>
    </row>
    <row r="34" spans="1:11" s="6" customFormat="1" ht="23.1" customHeight="1">
      <c r="A34" s="133" t="s">
        <v>19</v>
      </c>
      <c r="B34" s="98"/>
      <c r="C34" s="98"/>
      <c r="D34" s="98"/>
      <c r="E34" s="98"/>
      <c r="F34" s="98"/>
      <c r="G34" s="98"/>
      <c r="H34" s="98"/>
      <c r="I34" s="99"/>
      <c r="J34" s="37">
        <f>SUM(J26:J33)</f>
        <v>1662.97</v>
      </c>
      <c r="K34" s="35"/>
    </row>
    <row r="35" spans="1:11" s="6" customFormat="1" ht="23.1" customHeight="1">
      <c r="A35" s="180"/>
      <c r="B35" s="180"/>
      <c r="C35" s="180"/>
      <c r="D35" s="180"/>
      <c r="E35" s="180"/>
      <c r="F35" s="180"/>
      <c r="G35" s="180"/>
      <c r="H35" s="180"/>
      <c r="I35" s="180"/>
      <c r="J35" s="180"/>
      <c r="K35" s="35"/>
    </row>
    <row r="36" spans="1:11" s="6" customFormat="1" ht="23.1" customHeight="1">
      <c r="A36" s="100" t="s">
        <v>20</v>
      </c>
      <c r="B36" s="95"/>
      <c r="C36" s="95"/>
      <c r="D36" s="95"/>
      <c r="E36" s="95"/>
      <c r="F36" s="95"/>
      <c r="G36" s="95"/>
      <c r="H36" s="95"/>
      <c r="I36" s="95"/>
      <c r="J36" s="96"/>
      <c r="K36" s="35"/>
    </row>
    <row r="37" spans="1:11" s="6" customFormat="1" ht="23.1" customHeight="1">
      <c r="A37" s="139" t="s">
        <v>21</v>
      </c>
      <c r="B37" s="98"/>
      <c r="C37" s="98"/>
      <c r="D37" s="98"/>
      <c r="E37" s="98"/>
      <c r="F37" s="98"/>
      <c r="G37" s="98"/>
      <c r="H37" s="98"/>
      <c r="I37" s="98"/>
      <c r="J37" s="99"/>
      <c r="K37" s="35"/>
    </row>
    <row r="38" spans="1:11" s="6" customFormat="1" ht="38.25" customHeight="1">
      <c r="A38" s="10" t="s">
        <v>22</v>
      </c>
      <c r="B38" s="129" t="s">
        <v>111</v>
      </c>
      <c r="C38" s="95"/>
      <c r="D38" s="95"/>
      <c r="E38" s="95"/>
      <c r="F38" s="95"/>
      <c r="G38" s="95"/>
      <c r="H38" s="95"/>
      <c r="I38" s="96"/>
      <c r="J38" s="7" t="s">
        <v>23</v>
      </c>
      <c r="K38" s="35"/>
    </row>
    <row r="39" spans="1:11" s="6" customFormat="1" ht="38.25" customHeight="1">
      <c r="A39" s="10" t="s">
        <v>3</v>
      </c>
      <c r="B39" s="100" t="s">
        <v>112</v>
      </c>
      <c r="C39" s="95"/>
      <c r="D39" s="95"/>
      <c r="E39" s="95"/>
      <c r="F39" s="95"/>
      <c r="G39" s="95"/>
      <c r="H39" s="96"/>
      <c r="I39" s="11">
        <v>8.3299999999999999E-2</v>
      </c>
      <c r="J39" s="12">
        <f t="shared" ref="J39:J40" si="0">ROUND($J$34*I39,2)</f>
        <v>138.53</v>
      </c>
      <c r="K39" s="35"/>
    </row>
    <row r="40" spans="1:11" s="6" customFormat="1" ht="38.25" customHeight="1">
      <c r="A40" s="10" t="s">
        <v>5</v>
      </c>
      <c r="B40" s="140" t="s">
        <v>113</v>
      </c>
      <c r="C40" s="95"/>
      <c r="D40" s="95"/>
      <c r="E40" s="95"/>
      <c r="F40" s="95"/>
      <c r="G40" s="95"/>
      <c r="H40" s="96"/>
      <c r="I40" s="13">
        <v>3.0249999999999999E-2</v>
      </c>
      <c r="J40" s="12">
        <f t="shared" si="0"/>
        <v>50.3</v>
      </c>
      <c r="K40" s="35"/>
    </row>
    <row r="41" spans="1:11" s="6" customFormat="1" ht="23.1" customHeight="1">
      <c r="A41" s="141" t="s">
        <v>24</v>
      </c>
      <c r="B41" s="95"/>
      <c r="C41" s="95"/>
      <c r="D41" s="95"/>
      <c r="E41" s="95"/>
      <c r="F41" s="95"/>
      <c r="G41" s="95"/>
      <c r="H41" s="95"/>
      <c r="I41" s="96"/>
      <c r="J41" s="12">
        <f>SUM(J39+J40)</f>
        <v>188.82999999999998</v>
      </c>
      <c r="K41" s="35"/>
    </row>
    <row r="42" spans="1:11" s="6" customFormat="1" ht="23.1" customHeight="1">
      <c r="A42" s="10" t="s">
        <v>7</v>
      </c>
      <c r="B42" s="129" t="s">
        <v>25</v>
      </c>
      <c r="C42" s="95"/>
      <c r="D42" s="95"/>
      <c r="E42" s="95"/>
      <c r="F42" s="95"/>
      <c r="G42" s="95"/>
      <c r="H42" s="95"/>
      <c r="I42" s="96"/>
      <c r="J42" s="9">
        <f>ROUND(I55*J41,2)</f>
        <v>69.489999999999995</v>
      </c>
      <c r="K42" s="35"/>
    </row>
    <row r="43" spans="1:11" s="6" customFormat="1" ht="23.1" customHeight="1">
      <c r="A43" s="109" t="s">
        <v>24</v>
      </c>
      <c r="B43" s="98"/>
      <c r="C43" s="98"/>
      <c r="D43" s="98"/>
      <c r="E43" s="98"/>
      <c r="F43" s="98"/>
      <c r="G43" s="98"/>
      <c r="H43" s="98"/>
      <c r="I43" s="99"/>
      <c r="J43" s="37">
        <f>J41+J42</f>
        <v>258.32</v>
      </c>
      <c r="K43" s="35"/>
    </row>
    <row r="44" spans="1:11" s="6" customFormat="1" ht="23.1" customHeight="1">
      <c r="A44" s="104"/>
      <c r="B44" s="95"/>
      <c r="C44" s="95"/>
      <c r="D44" s="95"/>
      <c r="E44" s="95"/>
      <c r="F44" s="95"/>
      <c r="G44" s="95"/>
      <c r="H44" s="95"/>
      <c r="I44" s="95"/>
      <c r="J44" s="95"/>
      <c r="K44" s="35"/>
    </row>
    <row r="45" spans="1:11" s="6" customFormat="1" ht="23.1" customHeight="1">
      <c r="A45" s="100" t="s">
        <v>26</v>
      </c>
      <c r="B45" s="95"/>
      <c r="C45" s="95"/>
      <c r="D45" s="95"/>
      <c r="E45" s="95"/>
      <c r="F45" s="95"/>
      <c r="G45" s="95"/>
      <c r="H45" s="95"/>
      <c r="I45" s="95"/>
      <c r="J45" s="96"/>
      <c r="K45" s="35"/>
    </row>
    <row r="46" spans="1:11" s="6" customFormat="1" ht="23.1" customHeight="1">
      <c r="A46" s="38" t="s">
        <v>27</v>
      </c>
      <c r="B46" s="131" t="s">
        <v>28</v>
      </c>
      <c r="C46" s="98"/>
      <c r="D46" s="98"/>
      <c r="E46" s="98"/>
      <c r="F46" s="98"/>
      <c r="G46" s="98"/>
      <c r="H46" s="99"/>
      <c r="I46" s="36" t="s">
        <v>29</v>
      </c>
      <c r="J46" s="36" t="s">
        <v>23</v>
      </c>
      <c r="K46" s="35"/>
    </row>
    <row r="47" spans="1:11" s="6" customFormat="1" ht="23.1" customHeight="1">
      <c r="A47" s="10" t="s">
        <v>3</v>
      </c>
      <c r="B47" s="129" t="s">
        <v>30</v>
      </c>
      <c r="C47" s="95"/>
      <c r="D47" s="95"/>
      <c r="E47" s="95"/>
      <c r="F47" s="95"/>
      <c r="G47" s="95"/>
      <c r="H47" s="96"/>
      <c r="I47" s="14">
        <v>0.2</v>
      </c>
      <c r="J47" s="9">
        <f t="shared" ref="J47:J54" si="1">ROUND($J$34*I47,2)</f>
        <v>332.59</v>
      </c>
      <c r="K47" s="35"/>
    </row>
    <row r="48" spans="1:11" s="6" customFormat="1" ht="23.1" customHeight="1">
      <c r="A48" s="10" t="s">
        <v>5</v>
      </c>
      <c r="B48" s="129" t="s">
        <v>31</v>
      </c>
      <c r="C48" s="95"/>
      <c r="D48" s="95"/>
      <c r="E48" s="95"/>
      <c r="F48" s="95"/>
      <c r="G48" s="95"/>
      <c r="H48" s="96"/>
      <c r="I48" s="14">
        <v>2.5000000000000001E-2</v>
      </c>
      <c r="J48" s="9">
        <f t="shared" si="1"/>
        <v>41.57</v>
      </c>
      <c r="K48" s="35"/>
    </row>
    <row r="49" spans="1:11" s="6" customFormat="1" ht="23.1" customHeight="1">
      <c r="A49" s="10" t="s">
        <v>7</v>
      </c>
      <c r="B49" s="129" t="s">
        <v>32</v>
      </c>
      <c r="C49" s="95"/>
      <c r="D49" s="96"/>
      <c r="E49" s="15" t="s">
        <v>33</v>
      </c>
      <c r="F49" s="41">
        <v>0.03</v>
      </c>
      <c r="G49" s="15" t="s">
        <v>34</v>
      </c>
      <c r="H49" s="42">
        <v>1</v>
      </c>
      <c r="I49" s="16">
        <f>F49*H49</f>
        <v>0.03</v>
      </c>
      <c r="J49" s="9">
        <f>ROUND($J$34*I49,2)</f>
        <v>49.89</v>
      </c>
      <c r="K49" s="35"/>
    </row>
    <row r="50" spans="1:11" s="6" customFormat="1" ht="23.1" customHeight="1">
      <c r="A50" s="10" t="s">
        <v>9</v>
      </c>
      <c r="B50" s="129" t="s">
        <v>35</v>
      </c>
      <c r="C50" s="95"/>
      <c r="D50" s="95"/>
      <c r="E50" s="95"/>
      <c r="F50" s="95"/>
      <c r="G50" s="95"/>
      <c r="H50" s="96"/>
      <c r="I50" s="14">
        <v>1.4999999999999999E-2</v>
      </c>
      <c r="J50" s="9">
        <f t="shared" si="1"/>
        <v>24.94</v>
      </c>
      <c r="K50" s="35"/>
    </row>
    <row r="51" spans="1:11" s="6" customFormat="1" ht="23.1" customHeight="1">
      <c r="A51" s="10" t="s">
        <v>36</v>
      </c>
      <c r="B51" s="129" t="s">
        <v>37</v>
      </c>
      <c r="C51" s="95"/>
      <c r="D51" s="95"/>
      <c r="E51" s="95"/>
      <c r="F51" s="95"/>
      <c r="G51" s="95"/>
      <c r="H51" s="96"/>
      <c r="I51" s="14">
        <v>0.01</v>
      </c>
      <c r="J51" s="9">
        <f t="shared" si="1"/>
        <v>16.63</v>
      </c>
      <c r="K51" s="35"/>
    </row>
    <row r="52" spans="1:11" s="6" customFormat="1" ht="23.1" customHeight="1">
      <c r="A52" s="10" t="s">
        <v>38</v>
      </c>
      <c r="B52" s="129" t="s">
        <v>39</v>
      </c>
      <c r="C52" s="95"/>
      <c r="D52" s="95"/>
      <c r="E52" s="95"/>
      <c r="F52" s="95"/>
      <c r="G52" s="95"/>
      <c r="H52" s="96"/>
      <c r="I52" s="14">
        <v>6.0000000000000001E-3</v>
      </c>
      <c r="J52" s="9">
        <f t="shared" si="1"/>
        <v>9.98</v>
      </c>
      <c r="K52" s="35"/>
    </row>
    <row r="53" spans="1:11" s="6" customFormat="1" ht="23.1" customHeight="1">
      <c r="A53" s="10" t="s">
        <v>40</v>
      </c>
      <c r="B53" s="129" t="s">
        <v>41</v>
      </c>
      <c r="C53" s="95"/>
      <c r="D53" s="95"/>
      <c r="E53" s="95"/>
      <c r="F53" s="95"/>
      <c r="G53" s="95"/>
      <c r="H53" s="96"/>
      <c r="I53" s="14">
        <v>2E-3</v>
      </c>
      <c r="J53" s="9">
        <f t="shared" si="1"/>
        <v>3.33</v>
      </c>
      <c r="K53" s="35"/>
    </row>
    <row r="54" spans="1:11" s="6" customFormat="1" ht="23.1" customHeight="1">
      <c r="A54" s="10" t="s">
        <v>42</v>
      </c>
      <c r="B54" s="129" t="s">
        <v>43</v>
      </c>
      <c r="C54" s="95"/>
      <c r="D54" s="95"/>
      <c r="E54" s="95"/>
      <c r="F54" s="95"/>
      <c r="G54" s="95"/>
      <c r="H54" s="96"/>
      <c r="I54" s="14">
        <v>0.08</v>
      </c>
      <c r="J54" s="9">
        <f t="shared" si="1"/>
        <v>133.04</v>
      </c>
      <c r="K54" s="35"/>
    </row>
    <row r="55" spans="1:11" s="6" customFormat="1" ht="23.1" customHeight="1">
      <c r="A55" s="109" t="s">
        <v>24</v>
      </c>
      <c r="B55" s="98"/>
      <c r="C55" s="98"/>
      <c r="D55" s="98"/>
      <c r="E55" s="98"/>
      <c r="F55" s="98"/>
      <c r="G55" s="98"/>
      <c r="H55" s="99"/>
      <c r="I55" s="39">
        <f t="shared" ref="I55:J55" si="2">SUM(I47:I54)</f>
        <v>0.36800000000000005</v>
      </c>
      <c r="J55" s="37">
        <f t="shared" si="2"/>
        <v>611.96999999999991</v>
      </c>
      <c r="K55" s="35"/>
    </row>
    <row r="56" spans="1:11" s="6" customFormat="1" ht="23.1" customHeight="1">
      <c r="A56" s="104"/>
      <c r="B56" s="95"/>
      <c r="C56" s="95"/>
      <c r="D56" s="95"/>
      <c r="E56" s="95"/>
      <c r="F56" s="95"/>
      <c r="G56" s="95"/>
      <c r="H56" s="95"/>
      <c r="I56" s="95"/>
      <c r="J56" s="95"/>
      <c r="K56" s="35"/>
    </row>
    <row r="57" spans="1:11" s="6" customFormat="1" ht="23.1" customHeight="1">
      <c r="A57" s="100" t="s">
        <v>44</v>
      </c>
      <c r="B57" s="95"/>
      <c r="C57" s="95"/>
      <c r="D57" s="95"/>
      <c r="E57" s="95"/>
      <c r="F57" s="95"/>
      <c r="G57" s="95"/>
      <c r="H57" s="95"/>
      <c r="I57" s="95"/>
      <c r="J57" s="96"/>
      <c r="K57" s="35"/>
    </row>
    <row r="58" spans="1:11" s="6" customFormat="1" ht="23.1" customHeight="1">
      <c r="A58" s="38" t="s">
        <v>45</v>
      </c>
      <c r="B58" s="131" t="s">
        <v>46</v>
      </c>
      <c r="C58" s="98"/>
      <c r="D58" s="98"/>
      <c r="E58" s="98"/>
      <c r="F58" s="98"/>
      <c r="G58" s="98"/>
      <c r="H58" s="98"/>
      <c r="I58" s="99"/>
      <c r="J58" s="36" t="s">
        <v>23</v>
      </c>
      <c r="K58" s="35"/>
    </row>
    <row r="59" spans="1:11" s="6" customFormat="1" ht="23.1" customHeight="1">
      <c r="A59" s="10" t="s">
        <v>3</v>
      </c>
      <c r="B59" s="129" t="s">
        <v>140</v>
      </c>
      <c r="C59" s="95"/>
      <c r="D59" s="95"/>
      <c r="E59" s="95"/>
      <c r="F59" s="95"/>
      <c r="G59" s="95"/>
      <c r="H59" s="95"/>
      <c r="I59" s="96"/>
      <c r="J59" s="9">
        <f>IF(ROUND((I62*I60*I61)-(J26*0.06),2)&lt;0,0,ROUND((I62*I60*I61)-(J26*0.06),2))*1+(I60*I61*21.726-0.06*J26)*0</f>
        <v>147.06</v>
      </c>
      <c r="K59" s="35"/>
    </row>
    <row r="60" spans="1:11" s="6" customFormat="1" ht="23.1" customHeight="1">
      <c r="A60" s="10"/>
      <c r="B60" s="130" t="s">
        <v>135</v>
      </c>
      <c r="C60" s="95"/>
      <c r="D60" s="95"/>
      <c r="E60" s="95"/>
      <c r="F60" s="95"/>
      <c r="G60" s="95"/>
      <c r="H60" s="96"/>
      <c r="I60" s="55">
        <v>5.5</v>
      </c>
      <c r="J60" s="17"/>
      <c r="K60" s="35"/>
    </row>
    <row r="61" spans="1:11" s="6" customFormat="1" ht="23.1" customHeight="1">
      <c r="A61" s="10"/>
      <c r="B61" s="138" t="s">
        <v>48</v>
      </c>
      <c r="C61" s="95"/>
      <c r="D61" s="95"/>
      <c r="E61" s="95"/>
      <c r="F61" s="95"/>
      <c r="G61" s="95"/>
      <c r="H61" s="96"/>
      <c r="I61" s="56">
        <v>2</v>
      </c>
      <c r="J61" s="17"/>
      <c r="K61" s="35"/>
    </row>
    <row r="62" spans="1:11" s="6" customFormat="1" ht="23.1" customHeight="1">
      <c r="A62" s="10"/>
      <c r="B62" s="138" t="s">
        <v>49</v>
      </c>
      <c r="C62" s="95"/>
      <c r="D62" s="95"/>
      <c r="E62" s="95"/>
      <c r="F62" s="95"/>
      <c r="G62" s="95"/>
      <c r="H62" s="96"/>
      <c r="I62" s="56">
        <v>22</v>
      </c>
      <c r="J62" s="17"/>
      <c r="K62" s="35"/>
    </row>
    <row r="63" spans="1:11" s="6" customFormat="1" ht="23.1" customHeight="1">
      <c r="A63" s="10" t="s">
        <v>5</v>
      </c>
      <c r="B63" s="129" t="s">
        <v>139</v>
      </c>
      <c r="C63" s="95"/>
      <c r="D63" s="95"/>
      <c r="E63" s="95"/>
      <c r="F63" s="95"/>
      <c r="G63" s="95"/>
      <c r="H63" s="95"/>
      <c r="I63" s="96"/>
      <c r="J63" s="9">
        <f>ROUND(I65*I64*(1-I66),2)</f>
        <v>359.61</v>
      </c>
      <c r="K63" s="35"/>
    </row>
    <row r="64" spans="1:11" s="6" customFormat="1" ht="23.1" customHeight="1">
      <c r="A64" s="10"/>
      <c r="B64" s="138" t="s">
        <v>50</v>
      </c>
      <c r="C64" s="95"/>
      <c r="D64" s="95"/>
      <c r="E64" s="95"/>
      <c r="F64" s="95"/>
      <c r="G64" s="95"/>
      <c r="H64" s="96"/>
      <c r="I64" s="55">
        <v>20.18</v>
      </c>
      <c r="J64" s="17"/>
      <c r="K64" s="35"/>
    </row>
    <row r="65" spans="1:12" s="6" customFormat="1" ht="23.1" customHeight="1">
      <c r="A65" s="18"/>
      <c r="B65" s="138" t="s">
        <v>51</v>
      </c>
      <c r="C65" s="95"/>
      <c r="D65" s="95"/>
      <c r="E65" s="95"/>
      <c r="F65" s="95"/>
      <c r="G65" s="95"/>
      <c r="H65" s="96"/>
      <c r="I65" s="56">
        <v>22</v>
      </c>
      <c r="J65" s="17"/>
      <c r="K65" s="35"/>
    </row>
    <row r="66" spans="1:12" s="6" customFormat="1" ht="23.1" customHeight="1">
      <c r="A66" s="18"/>
      <c r="B66" s="138" t="s">
        <v>143</v>
      </c>
      <c r="C66" s="95"/>
      <c r="D66" s="95"/>
      <c r="E66" s="95"/>
      <c r="F66" s="95"/>
      <c r="G66" s="95"/>
      <c r="H66" s="96"/>
      <c r="I66" s="57">
        <v>0.19</v>
      </c>
      <c r="J66" s="17"/>
      <c r="K66" s="35"/>
    </row>
    <row r="67" spans="1:12" s="6" customFormat="1" ht="23.1" customHeight="1">
      <c r="A67" s="10" t="s">
        <v>7</v>
      </c>
      <c r="B67" s="100" t="s">
        <v>52</v>
      </c>
      <c r="C67" s="95"/>
      <c r="D67" s="95"/>
      <c r="E67" s="95"/>
      <c r="F67" s="95"/>
      <c r="G67" s="95"/>
      <c r="H67" s="95"/>
      <c r="I67" s="96"/>
      <c r="J67" s="43">
        <v>2.5</v>
      </c>
      <c r="K67" s="35"/>
    </row>
    <row r="68" spans="1:12" s="6" customFormat="1" ht="23.1" customHeight="1">
      <c r="A68" s="10" t="s">
        <v>9</v>
      </c>
      <c r="B68" s="100" t="s">
        <v>53</v>
      </c>
      <c r="C68" s="95"/>
      <c r="D68" s="95"/>
      <c r="E68" s="95"/>
      <c r="F68" s="95"/>
      <c r="G68" s="95"/>
      <c r="H68" s="95"/>
      <c r="I68" s="96"/>
      <c r="J68" s="30">
        <v>17.32</v>
      </c>
      <c r="K68" s="35"/>
    </row>
    <row r="69" spans="1:12" s="6" customFormat="1" ht="23.1" customHeight="1">
      <c r="A69" s="109" t="s">
        <v>19</v>
      </c>
      <c r="B69" s="98"/>
      <c r="C69" s="98"/>
      <c r="D69" s="98"/>
      <c r="E69" s="98"/>
      <c r="F69" s="98"/>
      <c r="G69" s="98"/>
      <c r="H69" s="98"/>
      <c r="I69" s="99"/>
      <c r="J69" s="37">
        <f>SUM(J59:J68)</f>
        <v>526.49</v>
      </c>
      <c r="K69" s="35"/>
    </row>
    <row r="70" spans="1:12" s="6" customFormat="1" ht="23.1" customHeight="1">
      <c r="A70" s="104"/>
      <c r="B70" s="95"/>
      <c r="C70" s="95"/>
      <c r="D70" s="95"/>
      <c r="E70" s="95"/>
      <c r="F70" s="95"/>
      <c r="G70" s="95"/>
      <c r="H70" s="95"/>
      <c r="I70" s="95"/>
      <c r="J70" s="95"/>
      <c r="K70" s="35"/>
    </row>
    <row r="71" spans="1:12" s="6" customFormat="1" ht="23.1" customHeight="1">
      <c r="A71" s="100" t="s">
        <v>54</v>
      </c>
      <c r="B71" s="95"/>
      <c r="C71" s="95"/>
      <c r="D71" s="95"/>
      <c r="E71" s="95"/>
      <c r="F71" s="95"/>
      <c r="G71" s="95"/>
      <c r="H71" s="95"/>
      <c r="I71" s="95"/>
      <c r="J71" s="96"/>
      <c r="K71" s="35"/>
    </row>
    <row r="72" spans="1:12" s="6" customFormat="1" ht="23.1" customHeight="1">
      <c r="A72" s="36">
        <v>2</v>
      </c>
      <c r="B72" s="132" t="s">
        <v>55</v>
      </c>
      <c r="C72" s="98"/>
      <c r="D72" s="98"/>
      <c r="E72" s="98"/>
      <c r="F72" s="98"/>
      <c r="G72" s="98"/>
      <c r="H72" s="98"/>
      <c r="I72" s="99"/>
      <c r="J72" s="36" t="s">
        <v>23</v>
      </c>
      <c r="K72" s="35"/>
    </row>
    <row r="73" spans="1:12" s="6" customFormat="1" ht="23.1" customHeight="1">
      <c r="A73" s="7" t="s">
        <v>22</v>
      </c>
      <c r="B73" s="146" t="s">
        <v>110</v>
      </c>
      <c r="C73" s="147"/>
      <c r="D73" s="147"/>
      <c r="E73" s="147"/>
      <c r="F73" s="147"/>
      <c r="G73" s="147"/>
      <c r="H73" s="147"/>
      <c r="I73" s="148"/>
      <c r="J73" s="8">
        <f>J43</f>
        <v>258.32</v>
      </c>
      <c r="K73" s="35"/>
    </row>
    <row r="74" spans="1:12" s="6" customFormat="1" ht="23.1" customHeight="1">
      <c r="A74" s="7" t="s">
        <v>27</v>
      </c>
      <c r="B74" s="101" t="s">
        <v>28</v>
      </c>
      <c r="C74" s="102"/>
      <c r="D74" s="102"/>
      <c r="E74" s="102"/>
      <c r="F74" s="102"/>
      <c r="G74" s="102"/>
      <c r="H74" s="102"/>
      <c r="I74" s="103"/>
      <c r="J74" s="8">
        <f>J55</f>
        <v>611.96999999999991</v>
      </c>
      <c r="K74" s="35"/>
    </row>
    <row r="75" spans="1:12" s="6" customFormat="1" ht="23.1" customHeight="1">
      <c r="A75" s="7" t="s">
        <v>45</v>
      </c>
      <c r="B75" s="101" t="s">
        <v>46</v>
      </c>
      <c r="C75" s="102"/>
      <c r="D75" s="102"/>
      <c r="E75" s="102"/>
      <c r="F75" s="102"/>
      <c r="G75" s="102"/>
      <c r="H75" s="102"/>
      <c r="I75" s="103"/>
      <c r="J75" s="8">
        <f>J69</f>
        <v>526.49</v>
      </c>
      <c r="K75" s="35"/>
    </row>
    <row r="76" spans="1:12" s="6" customFormat="1" ht="23.1" customHeight="1">
      <c r="A76" s="133" t="s">
        <v>24</v>
      </c>
      <c r="B76" s="98"/>
      <c r="C76" s="98"/>
      <c r="D76" s="98"/>
      <c r="E76" s="98"/>
      <c r="F76" s="98"/>
      <c r="G76" s="98"/>
      <c r="H76" s="98"/>
      <c r="I76" s="99"/>
      <c r="J76" s="40">
        <f>SUM(J73+J74+J75)</f>
        <v>1396.78</v>
      </c>
      <c r="K76" s="35"/>
    </row>
    <row r="77" spans="1:12" s="6" customFormat="1" ht="23.1" customHeight="1">
      <c r="A77" s="104"/>
      <c r="B77" s="95"/>
      <c r="C77" s="95"/>
      <c r="D77" s="95"/>
      <c r="E77" s="95"/>
      <c r="F77" s="95"/>
      <c r="G77" s="95"/>
      <c r="H77" s="95"/>
      <c r="I77" s="95"/>
      <c r="J77" s="95"/>
      <c r="K77" s="35"/>
    </row>
    <row r="78" spans="1:12" s="6" customFormat="1" ht="23.1" customHeight="1">
      <c r="A78" s="100" t="s">
        <v>56</v>
      </c>
      <c r="B78" s="95"/>
      <c r="C78" s="95"/>
      <c r="D78" s="95"/>
      <c r="E78" s="95"/>
      <c r="F78" s="95"/>
      <c r="G78" s="95"/>
      <c r="H78" s="95"/>
      <c r="I78" s="95"/>
      <c r="J78" s="96"/>
      <c r="K78" s="35"/>
    </row>
    <row r="79" spans="1:12" s="6" customFormat="1" ht="23.1" customHeight="1">
      <c r="A79" s="38">
        <v>3</v>
      </c>
      <c r="B79" s="132" t="s">
        <v>57</v>
      </c>
      <c r="C79" s="98"/>
      <c r="D79" s="98"/>
      <c r="E79" s="98"/>
      <c r="F79" s="98"/>
      <c r="G79" s="98"/>
      <c r="H79" s="98"/>
      <c r="I79" s="99"/>
      <c r="J79" s="36" t="s">
        <v>23</v>
      </c>
      <c r="K79" s="35"/>
    </row>
    <row r="80" spans="1:12" s="6" customFormat="1" ht="60" customHeight="1">
      <c r="A80" s="10" t="s">
        <v>3</v>
      </c>
      <c r="B80" s="100" t="s">
        <v>114</v>
      </c>
      <c r="C80" s="95"/>
      <c r="D80" s="95"/>
      <c r="E80" s="95"/>
      <c r="F80" s="95"/>
      <c r="G80" s="95"/>
      <c r="H80" s="95"/>
      <c r="I80" s="96"/>
      <c r="J80" s="9">
        <f>ROUND((($J$34/12)+($J$39/12)+($J$34/12/12)+($J$40/12))*(30/30)*0.05,2)</f>
        <v>8.2899999999999991</v>
      </c>
      <c r="K80" s="35"/>
      <c r="L80" s="19"/>
    </row>
    <row r="81" spans="1:12" s="6" customFormat="1" ht="22.5" customHeight="1">
      <c r="A81" s="10" t="s">
        <v>5</v>
      </c>
      <c r="B81" s="100" t="s">
        <v>58</v>
      </c>
      <c r="C81" s="95"/>
      <c r="D81" s="95"/>
      <c r="E81" s="95"/>
      <c r="F81" s="95"/>
      <c r="G81" s="95"/>
      <c r="H81" s="95"/>
      <c r="I81" s="96"/>
      <c r="J81" s="9">
        <f>ROUND($J$80*I54,2)</f>
        <v>0.66</v>
      </c>
      <c r="K81" s="35"/>
    </row>
    <row r="82" spans="1:12" s="6" customFormat="1" ht="60" customHeight="1">
      <c r="A82" s="10" t="s">
        <v>7</v>
      </c>
      <c r="B82" s="100" t="s">
        <v>115</v>
      </c>
      <c r="C82" s="95"/>
      <c r="D82" s="95"/>
      <c r="E82" s="95"/>
      <c r="F82" s="95"/>
      <c r="G82" s="95"/>
      <c r="H82" s="96"/>
      <c r="I82" s="20">
        <v>1.9E-3</v>
      </c>
      <c r="J82" s="9">
        <f>ROUND($J$34*I82,2)</f>
        <v>3.16</v>
      </c>
      <c r="K82" s="35"/>
    </row>
    <row r="83" spans="1:12" s="6" customFormat="1" ht="60" customHeight="1">
      <c r="A83" s="10" t="s">
        <v>9</v>
      </c>
      <c r="B83" s="100" t="s">
        <v>116</v>
      </c>
      <c r="C83" s="95"/>
      <c r="D83" s="95"/>
      <c r="E83" s="95"/>
      <c r="F83" s="95"/>
      <c r="G83" s="95"/>
      <c r="H83" s="95"/>
      <c r="I83" s="96"/>
      <c r="J83" s="9">
        <f>ROUND(((($J$34/30)*7)/$H$11)*0.1,2)</f>
        <v>3.23</v>
      </c>
      <c r="K83" s="35"/>
      <c r="L83" s="19"/>
    </row>
    <row r="84" spans="1:12" s="6" customFormat="1" ht="22.5" customHeight="1">
      <c r="A84" s="10" t="s">
        <v>36</v>
      </c>
      <c r="B84" s="100" t="s">
        <v>59</v>
      </c>
      <c r="C84" s="95"/>
      <c r="D84" s="95"/>
      <c r="E84" s="95"/>
      <c r="F84" s="95"/>
      <c r="G84" s="95"/>
      <c r="H84" s="95"/>
      <c r="I84" s="96"/>
      <c r="J84" s="9">
        <f>ROUND($I$55*J83,2)</f>
        <v>1.19</v>
      </c>
      <c r="K84" s="35"/>
    </row>
    <row r="85" spans="1:12" s="6" customFormat="1" ht="60" customHeight="1">
      <c r="A85" s="10" t="s">
        <v>38</v>
      </c>
      <c r="B85" s="100" t="s">
        <v>117</v>
      </c>
      <c r="C85" s="95"/>
      <c r="D85" s="95"/>
      <c r="E85" s="95"/>
      <c r="F85" s="95"/>
      <c r="G85" s="95"/>
      <c r="H85" s="96"/>
      <c r="I85" s="20">
        <v>3.8100000000000002E-2</v>
      </c>
      <c r="J85" s="9">
        <f>ROUND($J$34*I85,2)</f>
        <v>63.36</v>
      </c>
      <c r="K85" s="35"/>
    </row>
    <row r="86" spans="1:12" s="6" customFormat="1" ht="23.1" customHeight="1">
      <c r="A86" s="109" t="s">
        <v>24</v>
      </c>
      <c r="B86" s="98"/>
      <c r="C86" s="98"/>
      <c r="D86" s="98"/>
      <c r="E86" s="98"/>
      <c r="F86" s="98"/>
      <c r="G86" s="98"/>
      <c r="H86" s="98"/>
      <c r="I86" s="99"/>
      <c r="J86" s="37">
        <f>SUM(J80:J85)</f>
        <v>79.89</v>
      </c>
      <c r="K86" s="35"/>
    </row>
    <row r="87" spans="1:12" s="6" customFormat="1" ht="23.1" customHeight="1">
      <c r="A87" s="104"/>
      <c r="B87" s="95"/>
      <c r="C87" s="95"/>
      <c r="D87" s="95"/>
      <c r="E87" s="95"/>
      <c r="F87" s="95"/>
      <c r="G87" s="95"/>
      <c r="H87" s="95"/>
      <c r="I87" s="95"/>
      <c r="J87" s="95"/>
      <c r="K87" s="35"/>
    </row>
    <row r="88" spans="1:12" s="6" customFormat="1" ht="23.1" customHeight="1">
      <c r="A88" s="100" t="s">
        <v>60</v>
      </c>
      <c r="B88" s="95"/>
      <c r="C88" s="95"/>
      <c r="D88" s="95"/>
      <c r="E88" s="95"/>
      <c r="F88" s="95"/>
      <c r="G88" s="95"/>
      <c r="H88" s="95"/>
      <c r="I88" s="95"/>
      <c r="J88" s="96"/>
      <c r="K88" s="35"/>
    </row>
    <row r="89" spans="1:12" s="6" customFormat="1" ht="23.1" customHeight="1">
      <c r="A89" s="137" t="s">
        <v>61</v>
      </c>
      <c r="B89" s="95"/>
      <c r="C89" s="95"/>
      <c r="D89" s="95"/>
      <c r="E89" s="95"/>
      <c r="F89" s="95"/>
      <c r="G89" s="95"/>
      <c r="H89" s="95"/>
      <c r="I89" s="96"/>
      <c r="J89" s="8">
        <f>J92+J34+J39+J40</f>
        <v>2002.71</v>
      </c>
      <c r="K89" s="35"/>
    </row>
    <row r="90" spans="1:12" s="6" customFormat="1" ht="23.1" customHeight="1">
      <c r="A90" s="136"/>
      <c r="B90" s="118"/>
      <c r="C90" s="118"/>
      <c r="D90" s="118"/>
      <c r="E90" s="118"/>
      <c r="F90" s="118"/>
      <c r="G90" s="118"/>
      <c r="H90" s="118"/>
      <c r="I90" s="118"/>
      <c r="J90" s="119"/>
      <c r="K90" s="35"/>
    </row>
    <row r="91" spans="1:12" s="6" customFormat="1" ht="23.1" customHeight="1">
      <c r="A91" s="38" t="s">
        <v>62</v>
      </c>
      <c r="B91" s="131" t="s">
        <v>63</v>
      </c>
      <c r="C91" s="98"/>
      <c r="D91" s="98"/>
      <c r="E91" s="98"/>
      <c r="F91" s="98"/>
      <c r="G91" s="98"/>
      <c r="H91" s="98"/>
      <c r="I91" s="99"/>
      <c r="J91" s="36" t="s">
        <v>23</v>
      </c>
      <c r="K91" s="35"/>
    </row>
    <row r="92" spans="1:12" s="6" customFormat="1" ht="23.1" customHeight="1">
      <c r="A92" s="10" t="s">
        <v>3</v>
      </c>
      <c r="B92" s="100" t="s">
        <v>64</v>
      </c>
      <c r="C92" s="95"/>
      <c r="D92" s="95"/>
      <c r="E92" s="95"/>
      <c r="F92" s="95"/>
      <c r="G92" s="95"/>
      <c r="H92" s="96"/>
      <c r="I92" s="13">
        <v>9.0749999999999997E-2</v>
      </c>
      <c r="J92" s="9">
        <f>ROUND(($J$34*I92),2)</f>
        <v>150.91</v>
      </c>
      <c r="K92" s="35"/>
    </row>
    <row r="93" spans="1:12" s="6" customFormat="1" ht="23.1" customHeight="1">
      <c r="A93" s="10" t="s">
        <v>5</v>
      </c>
      <c r="B93" s="129" t="s">
        <v>118</v>
      </c>
      <c r="C93" s="95"/>
      <c r="D93" s="95"/>
      <c r="E93" s="95"/>
      <c r="F93" s="95"/>
      <c r="G93" s="95"/>
      <c r="H93" s="95"/>
      <c r="I93" s="96"/>
      <c r="J93" s="9">
        <f>ROUND((($J$89/30)*2.96)/12,2)</f>
        <v>16.47</v>
      </c>
      <c r="K93" s="35"/>
    </row>
    <row r="94" spans="1:12" s="6" customFormat="1" ht="23.1" customHeight="1">
      <c r="A94" s="10" t="s">
        <v>7</v>
      </c>
      <c r="B94" s="129" t="s">
        <v>119</v>
      </c>
      <c r="C94" s="95"/>
      <c r="D94" s="95"/>
      <c r="E94" s="95"/>
      <c r="F94" s="95"/>
      <c r="G94" s="95"/>
      <c r="H94" s="95"/>
      <c r="I94" s="96"/>
      <c r="J94" s="9">
        <f>ROUND((($J$89/30)*5)/12*0.015,2)</f>
        <v>0.42</v>
      </c>
      <c r="K94" s="35"/>
    </row>
    <row r="95" spans="1:12" s="6" customFormat="1" ht="23.1" customHeight="1">
      <c r="A95" s="10" t="s">
        <v>9</v>
      </c>
      <c r="B95" s="129" t="s">
        <v>120</v>
      </c>
      <c r="C95" s="95"/>
      <c r="D95" s="95"/>
      <c r="E95" s="95"/>
      <c r="F95" s="95"/>
      <c r="G95" s="95"/>
      <c r="H95" s="95"/>
      <c r="I95" s="96"/>
      <c r="J95" s="9">
        <f>ROUND(((($J$89/30)*15)/12)*0.0078,2)</f>
        <v>0.65</v>
      </c>
      <c r="K95" s="35"/>
    </row>
    <row r="96" spans="1:12" s="6" customFormat="1" ht="23.1" customHeight="1">
      <c r="A96" s="10" t="s">
        <v>36</v>
      </c>
      <c r="B96" s="129" t="s">
        <v>121</v>
      </c>
      <c r="C96" s="95"/>
      <c r="D96" s="95"/>
      <c r="E96" s="95"/>
      <c r="F96" s="95"/>
      <c r="G96" s="95"/>
      <c r="H96" s="95"/>
      <c r="I96" s="96"/>
      <c r="J96" s="9">
        <f>ROUND(((($J$34+$J$34/3)*4/12)/12)*0.02,2)</f>
        <v>1.23</v>
      </c>
      <c r="K96" s="35"/>
    </row>
    <row r="97" spans="1:11" s="6" customFormat="1" ht="23.1" customHeight="1">
      <c r="A97" s="21" t="s">
        <v>38</v>
      </c>
      <c r="B97" s="135" t="s">
        <v>122</v>
      </c>
      <c r="C97" s="95"/>
      <c r="D97" s="95"/>
      <c r="E97" s="95"/>
      <c r="F97" s="95"/>
      <c r="G97" s="95"/>
      <c r="H97" s="95"/>
      <c r="I97" s="96"/>
      <c r="J97" s="9">
        <f>ROUND(((($J$89/30)*5)/12),2)</f>
        <v>27.82</v>
      </c>
      <c r="K97" s="35"/>
    </row>
    <row r="98" spans="1:11" s="6" customFormat="1" ht="23.1" customHeight="1">
      <c r="A98" s="109" t="s">
        <v>24</v>
      </c>
      <c r="B98" s="98"/>
      <c r="C98" s="98"/>
      <c r="D98" s="98"/>
      <c r="E98" s="98"/>
      <c r="F98" s="98"/>
      <c r="G98" s="98"/>
      <c r="H98" s="98"/>
      <c r="I98" s="99"/>
      <c r="J98" s="37">
        <f>SUM(J92:J97)</f>
        <v>197.49999999999997</v>
      </c>
      <c r="K98" s="35"/>
    </row>
    <row r="99" spans="1:11" s="6" customFormat="1" ht="23.1" customHeight="1">
      <c r="A99" s="10" t="s">
        <v>40</v>
      </c>
      <c r="B99" s="129" t="s">
        <v>65</v>
      </c>
      <c r="C99" s="95"/>
      <c r="D99" s="95"/>
      <c r="E99" s="95"/>
      <c r="F99" s="95"/>
      <c r="G99" s="95"/>
      <c r="H99" s="95"/>
      <c r="I99" s="96"/>
      <c r="J99" s="9">
        <f>ROUND(I55*J98,2)</f>
        <v>72.680000000000007</v>
      </c>
      <c r="K99" s="35"/>
    </row>
    <row r="100" spans="1:11" s="6" customFormat="1" ht="23.1" customHeight="1">
      <c r="A100" s="109" t="s">
        <v>24</v>
      </c>
      <c r="B100" s="98"/>
      <c r="C100" s="98"/>
      <c r="D100" s="98"/>
      <c r="E100" s="98"/>
      <c r="F100" s="98"/>
      <c r="G100" s="98"/>
      <c r="H100" s="98"/>
      <c r="I100" s="99"/>
      <c r="J100" s="37">
        <f>SUM(J98:J99)</f>
        <v>270.17999999999995</v>
      </c>
      <c r="K100" s="35"/>
    </row>
    <row r="101" spans="1:11" s="6" customFormat="1" ht="23.1" customHeight="1">
      <c r="A101" s="100" t="s">
        <v>66</v>
      </c>
      <c r="B101" s="95"/>
      <c r="C101" s="95"/>
      <c r="D101" s="95"/>
      <c r="E101" s="95"/>
      <c r="F101" s="95"/>
      <c r="G101" s="95"/>
      <c r="H101" s="95"/>
      <c r="I101" s="95"/>
      <c r="J101" s="96"/>
      <c r="K101" s="35"/>
    </row>
    <row r="102" spans="1:11" s="6" customFormat="1" ht="23.1" customHeight="1">
      <c r="A102" s="38" t="s">
        <v>67</v>
      </c>
      <c r="B102" s="131" t="s">
        <v>68</v>
      </c>
      <c r="C102" s="98"/>
      <c r="D102" s="98"/>
      <c r="E102" s="98"/>
      <c r="F102" s="98"/>
      <c r="G102" s="98"/>
      <c r="H102" s="98"/>
      <c r="I102" s="99"/>
      <c r="J102" s="36" t="s">
        <v>23</v>
      </c>
      <c r="K102" s="35"/>
    </row>
    <row r="103" spans="1:11" s="6" customFormat="1" ht="23.1" customHeight="1">
      <c r="A103" s="10" t="s">
        <v>3</v>
      </c>
      <c r="B103" s="129" t="s">
        <v>69</v>
      </c>
      <c r="C103" s="95"/>
      <c r="D103" s="95"/>
      <c r="E103" s="95"/>
      <c r="F103" s="95"/>
      <c r="G103" s="95"/>
      <c r="H103" s="95"/>
      <c r="I103" s="96"/>
      <c r="J103" s="9">
        <v>0</v>
      </c>
      <c r="K103" s="35"/>
    </row>
    <row r="104" spans="1:11" s="6" customFormat="1" ht="23.1" customHeight="1">
      <c r="A104" s="134" t="s">
        <v>24</v>
      </c>
      <c r="B104" s="95"/>
      <c r="C104" s="95"/>
      <c r="D104" s="95"/>
      <c r="E104" s="95"/>
      <c r="F104" s="95"/>
      <c r="G104" s="95"/>
      <c r="H104" s="95"/>
      <c r="I104" s="96"/>
      <c r="J104" s="9">
        <v>0</v>
      </c>
      <c r="K104" s="35"/>
    </row>
    <row r="105" spans="1:11" s="6" customFormat="1" ht="23.1" customHeight="1">
      <c r="A105" s="10" t="s">
        <v>5</v>
      </c>
      <c r="B105" s="129" t="s">
        <v>70</v>
      </c>
      <c r="C105" s="95"/>
      <c r="D105" s="95"/>
      <c r="E105" s="95"/>
      <c r="F105" s="95"/>
      <c r="G105" s="95"/>
      <c r="H105" s="95"/>
      <c r="I105" s="96"/>
      <c r="J105" s="9">
        <f>ROUND(I55*J104,2)</f>
        <v>0</v>
      </c>
      <c r="K105" s="35"/>
    </row>
    <row r="106" spans="1:11" s="6" customFormat="1" ht="23.1" customHeight="1">
      <c r="A106" s="109" t="s">
        <v>24</v>
      </c>
      <c r="B106" s="98"/>
      <c r="C106" s="98"/>
      <c r="D106" s="98"/>
      <c r="E106" s="98"/>
      <c r="F106" s="98"/>
      <c r="G106" s="98"/>
      <c r="H106" s="98"/>
      <c r="I106" s="99"/>
      <c r="J106" s="37">
        <f>SUM(J104:J105)</f>
        <v>0</v>
      </c>
      <c r="K106" s="35"/>
    </row>
    <row r="107" spans="1:11" s="6" customFormat="1" ht="23.1" customHeight="1">
      <c r="A107" s="104"/>
      <c r="B107" s="95"/>
      <c r="C107" s="95"/>
      <c r="D107" s="95"/>
      <c r="E107" s="95"/>
      <c r="F107" s="95"/>
      <c r="G107" s="95"/>
      <c r="H107" s="95"/>
      <c r="I107" s="95"/>
      <c r="J107" s="95"/>
      <c r="K107" s="35"/>
    </row>
    <row r="108" spans="1:11" s="6" customFormat="1" ht="23.1" customHeight="1">
      <c r="A108" s="100" t="s">
        <v>71</v>
      </c>
      <c r="B108" s="95"/>
      <c r="C108" s="95"/>
      <c r="D108" s="95"/>
      <c r="E108" s="95"/>
      <c r="F108" s="95"/>
      <c r="G108" s="95"/>
      <c r="H108" s="95"/>
      <c r="I108" s="95"/>
      <c r="J108" s="96"/>
      <c r="K108" s="35"/>
    </row>
    <row r="109" spans="1:11" s="6" customFormat="1" ht="23.1" customHeight="1">
      <c r="A109" s="36">
        <v>4</v>
      </c>
      <c r="B109" s="132" t="s">
        <v>72</v>
      </c>
      <c r="C109" s="98"/>
      <c r="D109" s="98"/>
      <c r="E109" s="98"/>
      <c r="F109" s="98"/>
      <c r="G109" s="98"/>
      <c r="H109" s="98"/>
      <c r="I109" s="99"/>
      <c r="J109" s="36" t="s">
        <v>23</v>
      </c>
      <c r="K109" s="35"/>
    </row>
    <row r="110" spans="1:11" s="6" customFormat="1" ht="23.1" customHeight="1">
      <c r="A110" s="7" t="s">
        <v>62</v>
      </c>
      <c r="B110" s="100" t="s">
        <v>63</v>
      </c>
      <c r="C110" s="95"/>
      <c r="D110" s="95"/>
      <c r="E110" s="95"/>
      <c r="F110" s="95"/>
      <c r="G110" s="95"/>
      <c r="H110" s="95"/>
      <c r="I110" s="96"/>
      <c r="J110" s="9">
        <f>J100</f>
        <v>270.17999999999995</v>
      </c>
      <c r="K110" s="35"/>
    </row>
    <row r="111" spans="1:11" s="6" customFormat="1" ht="23.1" customHeight="1">
      <c r="A111" s="7" t="s">
        <v>73</v>
      </c>
      <c r="B111" s="100" t="s">
        <v>68</v>
      </c>
      <c r="C111" s="95"/>
      <c r="D111" s="95"/>
      <c r="E111" s="95"/>
      <c r="F111" s="95"/>
      <c r="G111" s="95"/>
      <c r="H111" s="95"/>
      <c r="I111" s="96"/>
      <c r="J111" s="9">
        <f>J106</f>
        <v>0</v>
      </c>
      <c r="K111" s="35"/>
    </row>
    <row r="112" spans="1:11" s="6" customFormat="1" ht="23.1" customHeight="1">
      <c r="A112" s="133" t="s">
        <v>24</v>
      </c>
      <c r="B112" s="98"/>
      <c r="C112" s="98"/>
      <c r="D112" s="98"/>
      <c r="E112" s="98"/>
      <c r="F112" s="98"/>
      <c r="G112" s="98"/>
      <c r="H112" s="98"/>
      <c r="I112" s="99"/>
      <c r="J112" s="37">
        <f>SUM(J110+J111)</f>
        <v>270.17999999999995</v>
      </c>
      <c r="K112" s="35"/>
    </row>
    <row r="113" spans="1:23" s="6" customFormat="1" ht="23.1" customHeight="1">
      <c r="A113" s="104"/>
      <c r="B113" s="95"/>
      <c r="C113" s="95"/>
      <c r="D113" s="95"/>
      <c r="E113" s="95"/>
      <c r="F113" s="95"/>
      <c r="G113" s="95"/>
      <c r="H113" s="95"/>
      <c r="I113" s="95"/>
      <c r="J113" s="95"/>
      <c r="K113" s="35"/>
    </row>
    <row r="114" spans="1:23" s="6" customFormat="1" ht="23.1" customHeight="1">
      <c r="A114" s="100" t="s">
        <v>74</v>
      </c>
      <c r="B114" s="95"/>
      <c r="C114" s="95"/>
      <c r="D114" s="95"/>
      <c r="E114" s="95"/>
      <c r="F114" s="95"/>
      <c r="G114" s="95"/>
      <c r="H114" s="95"/>
      <c r="I114" s="95"/>
      <c r="J114" s="96"/>
      <c r="K114" s="35"/>
    </row>
    <row r="115" spans="1:23" s="6" customFormat="1" ht="23.1" customHeight="1">
      <c r="A115" s="38">
        <v>5</v>
      </c>
      <c r="B115" s="131" t="s">
        <v>75</v>
      </c>
      <c r="C115" s="98"/>
      <c r="D115" s="98"/>
      <c r="E115" s="98"/>
      <c r="F115" s="98"/>
      <c r="G115" s="98"/>
      <c r="H115" s="98"/>
      <c r="I115" s="99"/>
      <c r="J115" s="36" t="s">
        <v>23</v>
      </c>
      <c r="K115" s="35"/>
    </row>
    <row r="116" spans="1:23" s="6" customFormat="1" ht="23.1" customHeight="1">
      <c r="A116" s="10" t="s">
        <v>3</v>
      </c>
      <c r="B116" s="129" t="s">
        <v>76</v>
      </c>
      <c r="C116" s="95"/>
      <c r="D116" s="95"/>
      <c r="E116" s="95"/>
      <c r="F116" s="95"/>
      <c r="G116" s="95"/>
      <c r="H116" s="95"/>
      <c r="I116" s="96"/>
      <c r="J116" s="53">
        <v>56.89</v>
      </c>
      <c r="K116" s="35"/>
    </row>
    <row r="117" spans="1:23" s="6" customFormat="1" ht="23.1" customHeight="1">
      <c r="A117" s="10" t="s">
        <v>5</v>
      </c>
      <c r="B117" s="129" t="s">
        <v>77</v>
      </c>
      <c r="C117" s="95"/>
      <c r="D117" s="95"/>
      <c r="E117" s="95"/>
      <c r="F117" s="95"/>
      <c r="G117" s="95"/>
      <c r="H117" s="95"/>
      <c r="I117" s="96"/>
      <c r="J117" s="54">
        <v>2.2999999999999998</v>
      </c>
      <c r="K117" s="35"/>
    </row>
    <row r="118" spans="1:23" s="6" customFormat="1" ht="23.1" customHeight="1">
      <c r="A118" s="10" t="s">
        <v>7</v>
      </c>
      <c r="B118" s="129" t="s">
        <v>78</v>
      </c>
      <c r="C118" s="95"/>
      <c r="D118" s="95"/>
      <c r="E118" s="95"/>
      <c r="F118" s="95"/>
      <c r="G118" s="95"/>
      <c r="H118" s="95"/>
      <c r="I118" s="96"/>
      <c r="J118" s="54">
        <v>3.37</v>
      </c>
      <c r="K118" s="35"/>
    </row>
    <row r="119" spans="1:23" s="6" customFormat="1" ht="23.1" customHeight="1">
      <c r="A119" s="10" t="s">
        <v>9</v>
      </c>
      <c r="B119" s="129" t="s">
        <v>129</v>
      </c>
      <c r="C119" s="95"/>
      <c r="D119" s="95"/>
      <c r="E119" s="95"/>
      <c r="F119" s="95"/>
      <c r="G119" s="95"/>
      <c r="H119" s="95"/>
      <c r="I119" s="96"/>
      <c r="J119" s="54" t="s">
        <v>79</v>
      </c>
      <c r="K119" s="35"/>
    </row>
    <row r="120" spans="1:23" s="6" customFormat="1" ht="23.1" customHeight="1">
      <c r="A120" s="109" t="s">
        <v>19</v>
      </c>
      <c r="B120" s="98"/>
      <c r="C120" s="98"/>
      <c r="D120" s="98"/>
      <c r="E120" s="98"/>
      <c r="F120" s="98"/>
      <c r="G120" s="98"/>
      <c r="H120" s="98"/>
      <c r="I120" s="99"/>
      <c r="J120" s="40">
        <f>SUM(J116:J119)</f>
        <v>62.559999999999995</v>
      </c>
      <c r="K120" s="35"/>
    </row>
    <row r="121" spans="1:23" s="6" customFormat="1" ht="23.1" customHeight="1">
      <c r="A121" s="104"/>
      <c r="B121" s="95"/>
      <c r="C121" s="95"/>
      <c r="D121" s="95"/>
      <c r="E121" s="95"/>
      <c r="F121" s="95"/>
      <c r="G121" s="95"/>
      <c r="H121" s="95"/>
      <c r="I121" s="95"/>
      <c r="J121" s="95"/>
      <c r="K121" s="35"/>
    </row>
    <row r="122" spans="1:23" s="6" customFormat="1" ht="23.1" customHeight="1">
      <c r="A122" s="100" t="s">
        <v>80</v>
      </c>
      <c r="B122" s="95"/>
      <c r="C122" s="95"/>
      <c r="D122" s="95"/>
      <c r="E122" s="95"/>
      <c r="F122" s="95"/>
      <c r="G122" s="95"/>
      <c r="H122" s="95"/>
      <c r="I122" s="95"/>
      <c r="J122" s="96"/>
      <c r="K122" s="35"/>
      <c r="R122" s="1"/>
      <c r="S122" s="1"/>
      <c r="T122" s="1"/>
      <c r="U122" s="1"/>
      <c r="V122" s="1"/>
    </row>
    <row r="123" spans="1:23" s="6" customFormat="1" ht="23.1" customHeight="1">
      <c r="A123" s="38">
        <v>6</v>
      </c>
      <c r="B123" s="131" t="s">
        <v>81</v>
      </c>
      <c r="C123" s="98"/>
      <c r="D123" s="98"/>
      <c r="E123" s="98"/>
      <c r="F123" s="98"/>
      <c r="G123" s="98"/>
      <c r="H123" s="99"/>
      <c r="I123" s="36" t="s">
        <v>29</v>
      </c>
      <c r="J123" s="36" t="s">
        <v>23</v>
      </c>
      <c r="K123" s="35"/>
      <c r="R123" s="1"/>
      <c r="S123" s="1"/>
      <c r="T123" s="1"/>
      <c r="U123" s="1"/>
      <c r="V123" s="1"/>
    </row>
    <row r="124" spans="1:23" s="6" customFormat="1" ht="23.1" customHeight="1">
      <c r="A124" s="130" t="s">
        <v>82</v>
      </c>
      <c r="B124" s="95"/>
      <c r="C124" s="95"/>
      <c r="D124" s="95"/>
      <c r="E124" s="95"/>
      <c r="F124" s="95"/>
      <c r="G124" s="95"/>
      <c r="H124" s="96"/>
      <c r="I124" s="22" t="s">
        <v>47</v>
      </c>
      <c r="J124" s="23">
        <f>SUM(J34+J76+J86+J112+J120)</f>
        <v>3472.3799999999997</v>
      </c>
      <c r="K124" s="35"/>
      <c r="R124" s="2"/>
      <c r="S124" s="3"/>
      <c r="T124" s="3"/>
      <c r="U124" s="3"/>
      <c r="V124" s="1"/>
    </row>
    <row r="125" spans="1:23" s="6" customFormat="1" ht="23.1" customHeight="1">
      <c r="A125" s="10" t="s">
        <v>3</v>
      </c>
      <c r="B125" s="129" t="s">
        <v>83</v>
      </c>
      <c r="C125" s="95"/>
      <c r="D125" s="95"/>
      <c r="E125" s="95"/>
      <c r="F125" s="95"/>
      <c r="G125" s="95"/>
      <c r="H125" s="96"/>
      <c r="I125" s="48">
        <v>0.05</v>
      </c>
      <c r="J125" s="9">
        <f>ROUND(I125*J124,2)</f>
        <v>173.62</v>
      </c>
      <c r="K125" s="35"/>
      <c r="N125" s="19"/>
      <c r="R125" s="4"/>
      <c r="S125" s="3"/>
      <c r="T125" s="3"/>
      <c r="U125" s="3"/>
      <c r="V125" s="1"/>
    </row>
    <row r="126" spans="1:23" s="6" customFormat="1" ht="23.1" customHeight="1">
      <c r="A126" s="130" t="s">
        <v>84</v>
      </c>
      <c r="B126" s="95"/>
      <c r="C126" s="95"/>
      <c r="D126" s="95"/>
      <c r="E126" s="95"/>
      <c r="F126" s="95"/>
      <c r="G126" s="95"/>
      <c r="H126" s="96"/>
      <c r="I126" s="24" t="s">
        <v>47</v>
      </c>
      <c r="J126" s="23">
        <f>SUM(J34+J76+J86+J112+J120+J125)</f>
        <v>3645.9999999999995</v>
      </c>
      <c r="K126" s="35"/>
      <c r="N126" s="19"/>
      <c r="R126" s="2"/>
      <c r="S126" s="3"/>
      <c r="T126" s="3"/>
      <c r="U126" s="3"/>
      <c r="V126" s="3"/>
      <c r="W126" s="25"/>
    </row>
    <row r="127" spans="1:23" s="6" customFormat="1" ht="23.1" customHeight="1">
      <c r="A127" s="10" t="s">
        <v>5</v>
      </c>
      <c r="B127" s="129" t="s">
        <v>85</v>
      </c>
      <c r="C127" s="95"/>
      <c r="D127" s="95"/>
      <c r="E127" s="95"/>
      <c r="F127" s="95"/>
      <c r="G127" s="95"/>
      <c r="H127" s="96"/>
      <c r="I127" s="47">
        <v>6.7900000000000002E-2</v>
      </c>
      <c r="J127" s="9">
        <f>ROUND(I127*J126,2)</f>
        <v>247.56</v>
      </c>
      <c r="K127" s="35"/>
      <c r="R127" s="2"/>
      <c r="S127" s="3"/>
      <c r="T127" s="3"/>
      <c r="U127" s="3"/>
      <c r="V127" s="3"/>
      <c r="W127" s="25"/>
    </row>
    <row r="128" spans="1:23" s="6" customFormat="1" ht="23.1" customHeight="1">
      <c r="A128" s="130" t="s">
        <v>86</v>
      </c>
      <c r="B128" s="95"/>
      <c r="C128" s="95"/>
      <c r="D128" s="95"/>
      <c r="E128" s="95"/>
      <c r="F128" s="95"/>
      <c r="G128" s="95"/>
      <c r="H128" s="96"/>
      <c r="I128" s="24" t="s">
        <v>47</v>
      </c>
      <c r="J128" s="23">
        <f>SUM(J34+J76+J86+J112+J120+J125+J127)</f>
        <v>3893.5599999999995</v>
      </c>
      <c r="K128" s="35"/>
      <c r="R128" s="2"/>
      <c r="S128" s="3"/>
      <c r="T128" s="3"/>
      <c r="U128" s="3"/>
      <c r="V128" s="3"/>
      <c r="W128" s="25"/>
    </row>
    <row r="129" spans="1:23" s="6" customFormat="1" ht="23.1" customHeight="1">
      <c r="A129" s="10" t="s">
        <v>7</v>
      </c>
      <c r="B129" s="129" t="s">
        <v>87</v>
      </c>
      <c r="C129" s="95"/>
      <c r="D129" s="95"/>
      <c r="E129" s="95"/>
      <c r="F129" s="95"/>
      <c r="G129" s="95"/>
      <c r="H129" s="96"/>
      <c r="I129" s="11" t="s">
        <v>47</v>
      </c>
      <c r="J129" s="17" t="s">
        <v>47</v>
      </c>
      <c r="K129" s="35"/>
      <c r="R129" s="2"/>
      <c r="S129" s="3"/>
      <c r="T129" s="3"/>
      <c r="U129" s="3"/>
      <c r="V129" s="3"/>
      <c r="W129" s="25"/>
    </row>
    <row r="130" spans="1:23" s="6" customFormat="1" ht="23.1" customHeight="1">
      <c r="A130" s="10"/>
      <c r="B130" s="129" t="s">
        <v>88</v>
      </c>
      <c r="C130" s="95"/>
      <c r="D130" s="95"/>
      <c r="E130" s="95"/>
      <c r="F130" s="95"/>
      <c r="G130" s="95"/>
      <c r="H130" s="96"/>
      <c r="I130" s="11" t="s">
        <v>47</v>
      </c>
      <c r="J130" s="17" t="s">
        <v>47</v>
      </c>
      <c r="K130" s="35"/>
      <c r="R130" s="2"/>
      <c r="S130" s="3"/>
      <c r="T130" s="3"/>
      <c r="U130" s="3"/>
      <c r="V130" s="3"/>
      <c r="W130" s="25"/>
    </row>
    <row r="131" spans="1:23" s="6" customFormat="1" ht="23.1" customHeight="1">
      <c r="A131" s="10"/>
      <c r="B131" s="129" t="s">
        <v>123</v>
      </c>
      <c r="C131" s="95"/>
      <c r="D131" s="95"/>
      <c r="E131" s="95"/>
      <c r="F131" s="95"/>
      <c r="G131" s="95"/>
      <c r="H131" s="96"/>
      <c r="I131" s="44">
        <v>7.5999999999999998E-2</v>
      </c>
      <c r="J131" s="9">
        <f t="shared" ref="J131:J132" si="3">ROUND(($J$128/(1-$I$140))*I131,2)</f>
        <v>333.42</v>
      </c>
      <c r="K131" s="35"/>
      <c r="R131" s="4"/>
      <c r="S131" s="3"/>
      <c r="T131" s="3"/>
      <c r="U131" s="3"/>
      <c r="V131" s="3"/>
      <c r="W131" s="25"/>
    </row>
    <row r="132" spans="1:23" s="6" customFormat="1" ht="23.1" customHeight="1">
      <c r="A132" s="10"/>
      <c r="B132" s="129" t="s">
        <v>124</v>
      </c>
      <c r="C132" s="95"/>
      <c r="D132" s="95"/>
      <c r="E132" s="95"/>
      <c r="F132" s="95"/>
      <c r="G132" s="95"/>
      <c r="H132" s="96"/>
      <c r="I132" s="44">
        <v>1.6500000000000001E-2</v>
      </c>
      <c r="J132" s="9">
        <f t="shared" si="3"/>
        <v>72.39</v>
      </c>
      <c r="K132" s="35"/>
      <c r="R132" s="2"/>
      <c r="S132" s="3"/>
      <c r="T132" s="3"/>
      <c r="U132" s="3"/>
      <c r="V132" s="3"/>
      <c r="W132" s="25"/>
    </row>
    <row r="133" spans="1:23" s="6" customFormat="1" ht="23.1" customHeight="1">
      <c r="A133" s="10"/>
      <c r="B133" s="100" t="s">
        <v>89</v>
      </c>
      <c r="C133" s="95"/>
      <c r="D133" s="95"/>
      <c r="E133" s="95"/>
      <c r="F133" s="95"/>
      <c r="G133" s="95"/>
      <c r="H133" s="96"/>
      <c r="I133" s="26" t="s">
        <v>47</v>
      </c>
      <c r="J133" s="17" t="s">
        <v>47</v>
      </c>
      <c r="K133" s="35"/>
      <c r="R133" s="4"/>
      <c r="S133" s="3"/>
      <c r="T133" s="3"/>
      <c r="U133" s="3"/>
      <c r="V133" s="3"/>
      <c r="W133" s="25"/>
    </row>
    <row r="134" spans="1:23" s="6" customFormat="1" ht="23.1" customHeight="1">
      <c r="A134" s="10"/>
      <c r="B134" s="100" t="s">
        <v>90</v>
      </c>
      <c r="C134" s="95"/>
      <c r="D134" s="95"/>
      <c r="E134" s="95"/>
      <c r="F134" s="95"/>
      <c r="G134" s="95"/>
      <c r="H134" s="96"/>
      <c r="I134" s="26" t="s">
        <v>47</v>
      </c>
      <c r="J134" s="17" t="s">
        <v>47</v>
      </c>
      <c r="K134" s="35"/>
      <c r="R134" s="1"/>
      <c r="S134" s="3"/>
      <c r="T134" s="3"/>
      <c r="U134" s="3"/>
      <c r="V134" s="3"/>
      <c r="W134" s="25"/>
    </row>
    <row r="135" spans="1:23" s="6" customFormat="1" ht="23.1" customHeight="1">
      <c r="A135" s="10"/>
      <c r="B135" s="129" t="s">
        <v>91</v>
      </c>
      <c r="C135" s="95"/>
      <c r="D135" s="95"/>
      <c r="E135" s="95"/>
      <c r="F135" s="95"/>
      <c r="G135" s="95"/>
      <c r="H135" s="96"/>
      <c r="I135" s="26" t="s">
        <v>47</v>
      </c>
      <c r="J135" s="17" t="s">
        <v>47</v>
      </c>
      <c r="K135" s="35"/>
      <c r="R135" s="1"/>
      <c r="S135" s="3"/>
      <c r="T135" s="3"/>
      <c r="U135" s="3"/>
      <c r="V135" s="3"/>
      <c r="W135" s="25"/>
    </row>
    <row r="136" spans="1:23" s="6" customFormat="1" ht="23.1" customHeight="1">
      <c r="A136" s="10"/>
      <c r="B136" s="129" t="s">
        <v>92</v>
      </c>
      <c r="C136" s="95"/>
      <c r="D136" s="95"/>
      <c r="E136" s="95"/>
      <c r="F136" s="95"/>
      <c r="G136" s="95"/>
      <c r="H136" s="96"/>
      <c r="I136" s="26" t="s">
        <v>47</v>
      </c>
      <c r="J136" s="17" t="s">
        <v>47</v>
      </c>
      <c r="K136" s="35"/>
    </row>
    <row r="137" spans="1:23" s="6" customFormat="1" ht="23.1" customHeight="1">
      <c r="A137" s="10"/>
      <c r="B137" s="129" t="s">
        <v>125</v>
      </c>
      <c r="C137" s="95"/>
      <c r="D137" s="95"/>
      <c r="E137" s="95"/>
      <c r="F137" s="95"/>
      <c r="G137" s="95"/>
      <c r="H137" s="96"/>
      <c r="I137" s="45">
        <v>0.02</v>
      </c>
      <c r="J137" s="9">
        <f>ROUND(($J$128/(1-$I$140))*I137,2)</f>
        <v>87.74</v>
      </c>
      <c r="K137" s="35"/>
    </row>
    <row r="138" spans="1:23" s="6" customFormat="1" ht="23.1" customHeight="1">
      <c r="A138" s="109" t="s">
        <v>24</v>
      </c>
      <c r="B138" s="98"/>
      <c r="C138" s="98"/>
      <c r="D138" s="98"/>
      <c r="E138" s="98"/>
      <c r="F138" s="98"/>
      <c r="G138" s="98"/>
      <c r="H138" s="98"/>
      <c r="I138" s="99"/>
      <c r="J138" s="37">
        <f>SUM(J125+J127+J131+J132+J137)</f>
        <v>914.73</v>
      </c>
      <c r="K138" s="35"/>
    </row>
    <row r="139" spans="1:23" s="6" customFormat="1" ht="23.1" customHeight="1">
      <c r="A139" s="104"/>
      <c r="B139" s="95"/>
      <c r="C139" s="95"/>
      <c r="D139" s="95"/>
      <c r="E139" s="95"/>
      <c r="F139" s="95"/>
      <c r="G139" s="95"/>
      <c r="H139" s="95"/>
      <c r="I139" s="95"/>
      <c r="J139" s="95"/>
      <c r="K139" s="35"/>
    </row>
    <row r="140" spans="1:23" s="6" customFormat="1" ht="23.1" customHeight="1">
      <c r="A140" s="110" t="s">
        <v>93</v>
      </c>
      <c r="B140" s="95"/>
      <c r="C140" s="95"/>
      <c r="D140" s="95"/>
      <c r="E140" s="95"/>
      <c r="F140" s="95"/>
      <c r="G140" s="95"/>
      <c r="H140" s="96"/>
      <c r="I140" s="27">
        <f t="shared" ref="I140:J140" si="4">SUM(I131:I137)</f>
        <v>0.1125</v>
      </c>
      <c r="J140" s="23">
        <f t="shared" si="4"/>
        <v>493.55</v>
      </c>
      <c r="K140" s="35"/>
    </row>
    <row r="141" spans="1:23" s="6" customFormat="1" ht="23.1" customHeight="1">
      <c r="A141" s="111" t="s">
        <v>94</v>
      </c>
      <c r="B141" s="112"/>
      <c r="C141" s="113"/>
      <c r="D141" s="120" t="s">
        <v>95</v>
      </c>
      <c r="E141" s="121"/>
      <c r="F141" s="121"/>
      <c r="G141" s="121"/>
      <c r="H141" s="121"/>
      <c r="I141" s="121"/>
      <c r="J141" s="122"/>
      <c r="K141" s="35"/>
    </row>
    <row r="142" spans="1:23" s="6" customFormat="1" ht="23.1" customHeight="1">
      <c r="A142" s="114"/>
      <c r="B142" s="115"/>
      <c r="C142" s="116"/>
      <c r="D142" s="123" t="s">
        <v>96</v>
      </c>
      <c r="E142" s="124"/>
      <c r="F142" s="124"/>
      <c r="G142" s="124"/>
      <c r="H142" s="124"/>
      <c r="I142" s="124"/>
      <c r="J142" s="125"/>
      <c r="K142" s="35"/>
    </row>
    <row r="143" spans="1:23" s="6" customFormat="1" ht="23.1" customHeight="1">
      <c r="A143" s="117"/>
      <c r="B143" s="118"/>
      <c r="C143" s="119"/>
      <c r="D143" s="126" t="s">
        <v>97</v>
      </c>
      <c r="E143" s="127"/>
      <c r="F143" s="127"/>
      <c r="G143" s="127"/>
      <c r="H143" s="127"/>
      <c r="I143" s="127"/>
      <c r="J143" s="128"/>
      <c r="K143" s="35"/>
    </row>
    <row r="144" spans="1:23" s="6" customFormat="1" ht="23.1" customHeight="1">
      <c r="A144" s="104"/>
      <c r="B144" s="95"/>
      <c r="C144" s="95"/>
      <c r="D144" s="95"/>
      <c r="E144" s="95"/>
      <c r="F144" s="95"/>
      <c r="G144" s="95"/>
      <c r="H144" s="95"/>
      <c r="I144" s="95"/>
      <c r="J144" s="95"/>
      <c r="K144" s="35"/>
    </row>
    <row r="145" spans="1:11" s="6" customFormat="1" ht="23.1" customHeight="1">
      <c r="A145" s="105" t="s">
        <v>136</v>
      </c>
      <c r="B145" s="106"/>
      <c r="C145" s="106"/>
      <c r="D145" s="106"/>
      <c r="E145" s="106"/>
      <c r="F145" s="106"/>
      <c r="G145" s="106"/>
      <c r="H145" s="106"/>
      <c r="I145" s="106"/>
      <c r="J145" s="107"/>
      <c r="K145" s="35"/>
    </row>
    <row r="146" spans="1:11" s="6" customFormat="1" ht="23.1" customHeight="1">
      <c r="A146" s="108" t="s">
        <v>98</v>
      </c>
      <c r="B146" s="98"/>
      <c r="C146" s="98"/>
      <c r="D146" s="98"/>
      <c r="E146" s="98"/>
      <c r="F146" s="98"/>
      <c r="G146" s="98"/>
      <c r="H146" s="98"/>
      <c r="I146" s="99"/>
      <c r="J146" s="36" t="s">
        <v>23</v>
      </c>
      <c r="K146" s="35"/>
    </row>
    <row r="147" spans="1:11" s="6" customFormat="1" ht="23.1" customHeight="1">
      <c r="A147" s="28" t="s">
        <v>3</v>
      </c>
      <c r="B147" s="94" t="s">
        <v>99</v>
      </c>
      <c r="C147" s="95"/>
      <c r="D147" s="95"/>
      <c r="E147" s="95"/>
      <c r="F147" s="95"/>
      <c r="G147" s="95"/>
      <c r="H147" s="95"/>
      <c r="I147" s="96"/>
      <c r="J147" s="8">
        <f>J34</f>
        <v>1662.97</v>
      </c>
      <c r="K147" s="35"/>
    </row>
    <row r="148" spans="1:11" s="6" customFormat="1" ht="23.1" customHeight="1">
      <c r="A148" s="28" t="s">
        <v>5</v>
      </c>
      <c r="B148" s="94" t="s">
        <v>20</v>
      </c>
      <c r="C148" s="95"/>
      <c r="D148" s="95"/>
      <c r="E148" s="95"/>
      <c r="F148" s="95"/>
      <c r="G148" s="95"/>
      <c r="H148" s="95"/>
      <c r="I148" s="96"/>
      <c r="J148" s="8">
        <f>J76</f>
        <v>1396.78</v>
      </c>
      <c r="K148" s="35"/>
    </row>
    <row r="149" spans="1:11" s="6" customFormat="1" ht="23.1" customHeight="1">
      <c r="A149" s="28" t="s">
        <v>7</v>
      </c>
      <c r="B149" s="94" t="s">
        <v>100</v>
      </c>
      <c r="C149" s="95"/>
      <c r="D149" s="95"/>
      <c r="E149" s="95"/>
      <c r="F149" s="95"/>
      <c r="G149" s="95"/>
      <c r="H149" s="95"/>
      <c r="I149" s="96"/>
      <c r="J149" s="8">
        <f>J86</f>
        <v>79.89</v>
      </c>
      <c r="K149" s="35"/>
    </row>
    <row r="150" spans="1:11" s="6" customFormat="1" ht="23.1" customHeight="1">
      <c r="A150" s="28" t="s">
        <v>9</v>
      </c>
      <c r="B150" s="94" t="s">
        <v>101</v>
      </c>
      <c r="C150" s="95"/>
      <c r="D150" s="95"/>
      <c r="E150" s="95"/>
      <c r="F150" s="95"/>
      <c r="G150" s="95"/>
      <c r="H150" s="95"/>
      <c r="I150" s="96"/>
      <c r="J150" s="8">
        <f>J112</f>
        <v>270.17999999999995</v>
      </c>
      <c r="K150" s="35"/>
    </row>
    <row r="151" spans="1:11" s="6" customFormat="1" ht="23.1" customHeight="1">
      <c r="A151" s="28" t="s">
        <v>36</v>
      </c>
      <c r="B151" s="94" t="s">
        <v>102</v>
      </c>
      <c r="C151" s="95"/>
      <c r="D151" s="95"/>
      <c r="E151" s="95"/>
      <c r="F151" s="95"/>
      <c r="G151" s="95"/>
      <c r="H151" s="95"/>
      <c r="I151" s="96"/>
      <c r="J151" s="8">
        <f>J120</f>
        <v>62.559999999999995</v>
      </c>
      <c r="K151" s="35"/>
    </row>
    <row r="152" spans="1:11" s="6" customFormat="1" ht="23.1" customHeight="1">
      <c r="A152" s="97" t="s">
        <v>103</v>
      </c>
      <c r="B152" s="98"/>
      <c r="C152" s="98"/>
      <c r="D152" s="98"/>
      <c r="E152" s="98"/>
      <c r="F152" s="98"/>
      <c r="G152" s="98"/>
      <c r="H152" s="98"/>
      <c r="I152" s="99"/>
      <c r="J152" s="40">
        <f>SUM(J147:J151)</f>
        <v>3472.3799999999997</v>
      </c>
      <c r="K152" s="35"/>
    </row>
    <row r="153" spans="1:11" s="6" customFormat="1" ht="23.1" customHeight="1">
      <c r="A153" s="28" t="s">
        <v>38</v>
      </c>
      <c r="B153" s="94" t="s">
        <v>104</v>
      </c>
      <c r="C153" s="95"/>
      <c r="D153" s="95"/>
      <c r="E153" s="95"/>
      <c r="F153" s="95"/>
      <c r="G153" s="95"/>
      <c r="H153" s="95"/>
      <c r="I153" s="96"/>
      <c r="J153" s="8">
        <f>J138</f>
        <v>914.73</v>
      </c>
      <c r="K153" s="35"/>
    </row>
    <row r="154" spans="1:11" s="6" customFormat="1" ht="48.75" customHeight="1">
      <c r="A154" s="97" t="s">
        <v>105</v>
      </c>
      <c r="B154" s="98"/>
      <c r="C154" s="98"/>
      <c r="D154" s="98"/>
      <c r="E154" s="98"/>
      <c r="F154" s="98"/>
      <c r="G154" s="98"/>
      <c r="H154" s="98"/>
      <c r="I154" s="99"/>
      <c r="J154" s="40">
        <f>SUM(J152:J153)</f>
        <v>4387.1099999999997</v>
      </c>
      <c r="K154" s="35"/>
    </row>
    <row r="155" spans="1:11" ht="44.25" hidden="1" customHeight="1"/>
    <row r="156" spans="1:11" ht="44.25" hidden="1" customHeight="1"/>
    <row r="157" spans="1:11" ht="44.25" hidden="1" customHeight="1"/>
  </sheetData>
  <mergeCells count="168">
    <mergeCell ref="A5:G5"/>
    <mergeCell ref="H5:J5"/>
    <mergeCell ref="A7:J7"/>
    <mergeCell ref="B8:G8"/>
    <mergeCell ref="H8:J8"/>
    <mergeCell ref="B9:G9"/>
    <mergeCell ref="H9:J9"/>
    <mergeCell ref="A1:G1"/>
    <mergeCell ref="H1:J1"/>
    <mergeCell ref="A2:J2"/>
    <mergeCell ref="A3:G3"/>
    <mergeCell ref="H3:J3"/>
    <mergeCell ref="A4:G4"/>
    <mergeCell ref="H4:J4"/>
    <mergeCell ref="A15:J15"/>
    <mergeCell ref="B16:H16"/>
    <mergeCell ref="I16:J16"/>
    <mergeCell ref="B17:H17"/>
    <mergeCell ref="I17:J17"/>
    <mergeCell ref="B18:H18"/>
    <mergeCell ref="I18:J18"/>
    <mergeCell ref="B10:G10"/>
    <mergeCell ref="H10:J10"/>
    <mergeCell ref="B11:G11"/>
    <mergeCell ref="H11:J11"/>
    <mergeCell ref="A13:J13"/>
    <mergeCell ref="A14:J14"/>
    <mergeCell ref="B22:H22"/>
    <mergeCell ref="I22:J22"/>
    <mergeCell ref="A23:J23"/>
    <mergeCell ref="A24:J24"/>
    <mergeCell ref="B25:H25"/>
    <mergeCell ref="B26:G26"/>
    <mergeCell ref="B19:H19"/>
    <mergeCell ref="I19:J19"/>
    <mergeCell ref="B20:H20"/>
    <mergeCell ref="I20:J20"/>
    <mergeCell ref="B21:H21"/>
    <mergeCell ref="I21:J21"/>
    <mergeCell ref="B33:H33"/>
    <mergeCell ref="A34:I34"/>
    <mergeCell ref="A35:J35"/>
    <mergeCell ref="A36:J36"/>
    <mergeCell ref="A37:J37"/>
    <mergeCell ref="B38:I38"/>
    <mergeCell ref="B27:H27"/>
    <mergeCell ref="B28:H28"/>
    <mergeCell ref="B29:H29"/>
    <mergeCell ref="B30:H30"/>
    <mergeCell ref="B31:H31"/>
    <mergeCell ref="B32:H32"/>
    <mergeCell ref="A45:J45"/>
    <mergeCell ref="B46:H46"/>
    <mergeCell ref="B47:H47"/>
    <mergeCell ref="B48:H48"/>
    <mergeCell ref="B49:D49"/>
    <mergeCell ref="B50:H50"/>
    <mergeCell ref="B39:H39"/>
    <mergeCell ref="B40:H40"/>
    <mergeCell ref="A41:I41"/>
    <mergeCell ref="B42:I42"/>
    <mergeCell ref="A43:I43"/>
    <mergeCell ref="A44:J44"/>
    <mergeCell ref="A57:J57"/>
    <mergeCell ref="B58:I58"/>
    <mergeCell ref="B59:I59"/>
    <mergeCell ref="B60:H60"/>
    <mergeCell ref="B61:H61"/>
    <mergeCell ref="B62:H62"/>
    <mergeCell ref="B51:H51"/>
    <mergeCell ref="B52:H52"/>
    <mergeCell ref="B53:H53"/>
    <mergeCell ref="B54:H54"/>
    <mergeCell ref="A55:H55"/>
    <mergeCell ref="A56:J56"/>
    <mergeCell ref="A69:I69"/>
    <mergeCell ref="A70:J70"/>
    <mergeCell ref="A71:J71"/>
    <mergeCell ref="B72:I72"/>
    <mergeCell ref="B73:I73"/>
    <mergeCell ref="B74:I74"/>
    <mergeCell ref="B63:I63"/>
    <mergeCell ref="B64:H64"/>
    <mergeCell ref="B65:H65"/>
    <mergeCell ref="B66:H66"/>
    <mergeCell ref="B67:I67"/>
    <mergeCell ref="B68:I68"/>
    <mergeCell ref="B81:I81"/>
    <mergeCell ref="B82:H82"/>
    <mergeCell ref="B83:I83"/>
    <mergeCell ref="B84:I84"/>
    <mergeCell ref="B85:H85"/>
    <mergeCell ref="A86:I86"/>
    <mergeCell ref="B75:I75"/>
    <mergeCell ref="A76:I76"/>
    <mergeCell ref="A77:J77"/>
    <mergeCell ref="A78:J78"/>
    <mergeCell ref="B79:I79"/>
    <mergeCell ref="B80:I80"/>
    <mergeCell ref="B93:I93"/>
    <mergeCell ref="B94:I94"/>
    <mergeCell ref="B95:I95"/>
    <mergeCell ref="B96:I96"/>
    <mergeCell ref="B97:I97"/>
    <mergeCell ref="A98:I98"/>
    <mergeCell ref="A87:J87"/>
    <mergeCell ref="A88:J88"/>
    <mergeCell ref="A89:I89"/>
    <mergeCell ref="A90:J90"/>
    <mergeCell ref="B91:I91"/>
    <mergeCell ref="B92:H92"/>
    <mergeCell ref="B105:I105"/>
    <mergeCell ref="A106:I106"/>
    <mergeCell ref="A107:J107"/>
    <mergeCell ref="A108:J108"/>
    <mergeCell ref="B109:I109"/>
    <mergeCell ref="B110:I110"/>
    <mergeCell ref="B99:I99"/>
    <mergeCell ref="A100:I100"/>
    <mergeCell ref="A101:J101"/>
    <mergeCell ref="B102:I102"/>
    <mergeCell ref="B103:I103"/>
    <mergeCell ref="A104:I104"/>
    <mergeCell ref="B117:I117"/>
    <mergeCell ref="B118:I118"/>
    <mergeCell ref="B119:I119"/>
    <mergeCell ref="A120:I120"/>
    <mergeCell ref="A121:J121"/>
    <mergeCell ref="A122:J122"/>
    <mergeCell ref="B111:I111"/>
    <mergeCell ref="A112:I112"/>
    <mergeCell ref="A113:J113"/>
    <mergeCell ref="A114:J114"/>
    <mergeCell ref="B115:I115"/>
    <mergeCell ref="B116:I116"/>
    <mergeCell ref="B129:H129"/>
    <mergeCell ref="B130:H130"/>
    <mergeCell ref="B131:H131"/>
    <mergeCell ref="B132:H132"/>
    <mergeCell ref="B133:H133"/>
    <mergeCell ref="B134:H134"/>
    <mergeCell ref="B123:H123"/>
    <mergeCell ref="A124:H124"/>
    <mergeCell ref="B125:H125"/>
    <mergeCell ref="A126:H126"/>
    <mergeCell ref="B127:H127"/>
    <mergeCell ref="A128:H128"/>
    <mergeCell ref="A141:C143"/>
    <mergeCell ref="D141:J141"/>
    <mergeCell ref="D142:J142"/>
    <mergeCell ref="D143:J143"/>
    <mergeCell ref="A144:J144"/>
    <mergeCell ref="A145:J145"/>
    <mergeCell ref="B135:H135"/>
    <mergeCell ref="B136:H136"/>
    <mergeCell ref="B137:H137"/>
    <mergeCell ref="A138:I138"/>
    <mergeCell ref="A139:J139"/>
    <mergeCell ref="A140:H140"/>
    <mergeCell ref="A152:I152"/>
    <mergeCell ref="B153:I153"/>
    <mergeCell ref="A154:I154"/>
    <mergeCell ref="A146:I146"/>
    <mergeCell ref="B147:I147"/>
    <mergeCell ref="B148:I148"/>
    <mergeCell ref="B149:I149"/>
    <mergeCell ref="B150:I150"/>
    <mergeCell ref="B151:I15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3" fitToHeight="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34"/>
  <sheetViews>
    <sheetView tabSelected="1" view="pageBreakPreview" zoomScaleNormal="100" zoomScaleSheetLayoutView="100" workbookViewId="0">
      <selection activeCell="D7" sqref="D7"/>
    </sheetView>
  </sheetViews>
  <sheetFormatPr defaultColWidth="0" defaultRowHeight="15" zeroHeight="1"/>
  <cols>
    <col min="1" max="1" width="11" customWidth="1"/>
    <col min="2" max="2" width="26.85546875" bestFit="1" customWidth="1"/>
    <col min="3" max="7" width="22.140625" customWidth="1"/>
    <col min="8" max="8" width="5.42578125" customWidth="1"/>
    <col min="9" max="12" width="0" hidden="1" customWidth="1"/>
    <col min="13" max="16384" width="9.140625" hidden="1"/>
  </cols>
  <sheetData>
    <row r="1" spans="1:8" ht="24.95" customHeight="1" thickBot="1">
      <c r="A1" s="183" t="s">
        <v>162</v>
      </c>
      <c r="B1" s="184"/>
      <c r="C1" s="184"/>
      <c r="D1" s="184"/>
      <c r="E1" s="184"/>
      <c r="F1" s="184"/>
      <c r="G1" s="185"/>
      <c r="H1" s="73"/>
    </row>
    <row r="2" spans="1:8" ht="24.95" customHeight="1">
      <c r="A2" s="80" t="s">
        <v>233</v>
      </c>
      <c r="B2" s="69" t="s">
        <v>163</v>
      </c>
      <c r="C2" s="69" t="s">
        <v>164</v>
      </c>
      <c r="D2" s="69" t="s">
        <v>165</v>
      </c>
      <c r="E2" s="69" t="s">
        <v>166</v>
      </c>
      <c r="F2" s="69" t="s">
        <v>167</v>
      </c>
      <c r="G2" s="70" t="s">
        <v>168</v>
      </c>
      <c r="H2" s="73"/>
    </row>
    <row r="3" spans="1:8" ht="24.95" customHeight="1">
      <c r="A3" s="58">
        <v>1</v>
      </c>
      <c r="B3" s="64" t="s">
        <v>132</v>
      </c>
      <c r="C3" s="59">
        <f>Eletricista!J154</f>
        <v>6846.85</v>
      </c>
      <c r="D3" s="60">
        <v>1</v>
      </c>
      <c r="E3" s="59">
        <f>C3*D3</f>
        <v>6846.85</v>
      </c>
      <c r="F3" s="67">
        <v>1</v>
      </c>
      <c r="G3" s="68">
        <f>E3*F3</f>
        <v>6846.85</v>
      </c>
      <c r="H3" s="73"/>
    </row>
    <row r="4" spans="1:8" ht="24.95" customHeight="1">
      <c r="A4" s="63">
        <v>2</v>
      </c>
      <c r="B4" s="65" t="s">
        <v>171</v>
      </c>
      <c r="C4" s="61">
        <f>Pedreiro!J154</f>
        <v>6429.9600000000009</v>
      </c>
      <c r="D4" s="60">
        <v>1</v>
      </c>
      <c r="E4" s="59">
        <f t="shared" ref="E4:E9" si="0">C4*D4</f>
        <v>6429.9600000000009</v>
      </c>
      <c r="F4" s="67">
        <v>1</v>
      </c>
      <c r="G4" s="68">
        <f t="shared" ref="G4:G9" si="1">E4*F4</f>
        <v>6429.9600000000009</v>
      </c>
      <c r="H4" s="73"/>
    </row>
    <row r="5" spans="1:8" ht="24.95" customHeight="1">
      <c r="A5" s="63">
        <v>3</v>
      </c>
      <c r="B5" s="65" t="s">
        <v>172</v>
      </c>
      <c r="C5" s="61">
        <f>Servente!J154</f>
        <v>4854.5</v>
      </c>
      <c r="D5" s="60">
        <v>1</v>
      </c>
      <c r="E5" s="59">
        <f t="shared" si="0"/>
        <v>4854.5</v>
      </c>
      <c r="F5" s="67">
        <v>1</v>
      </c>
      <c r="G5" s="68">
        <f t="shared" si="1"/>
        <v>4854.5</v>
      </c>
      <c r="H5" s="73"/>
    </row>
    <row r="6" spans="1:8" ht="24.95" customHeight="1">
      <c r="A6" s="63">
        <v>4</v>
      </c>
      <c r="B6" s="65" t="s">
        <v>173</v>
      </c>
      <c r="C6" s="61">
        <f>'Auxiliar de Manutenção'!J154</f>
        <v>4337.2</v>
      </c>
      <c r="D6" s="60">
        <v>1</v>
      </c>
      <c r="E6" s="59">
        <f t="shared" si="0"/>
        <v>4337.2</v>
      </c>
      <c r="F6" s="67">
        <v>1</v>
      </c>
      <c r="G6" s="68">
        <f t="shared" si="1"/>
        <v>4337.2</v>
      </c>
      <c r="H6" s="73"/>
    </row>
    <row r="7" spans="1:8" ht="24.95" customHeight="1">
      <c r="A7" s="63">
        <v>5</v>
      </c>
      <c r="B7" s="65" t="s">
        <v>174</v>
      </c>
      <c r="C7" s="61">
        <f>Jardineiro!J154</f>
        <v>4497.0999999999995</v>
      </c>
      <c r="D7" s="60">
        <v>1</v>
      </c>
      <c r="E7" s="59">
        <f t="shared" si="0"/>
        <v>4497.0999999999995</v>
      </c>
      <c r="F7" s="67">
        <v>1</v>
      </c>
      <c r="G7" s="68">
        <f t="shared" si="1"/>
        <v>4497.0999999999995</v>
      </c>
      <c r="H7" s="73"/>
    </row>
    <row r="8" spans="1:8" ht="24.95" customHeight="1">
      <c r="A8" s="63">
        <v>6</v>
      </c>
      <c r="B8" s="65" t="s">
        <v>175</v>
      </c>
      <c r="C8" s="61">
        <f>'Porteiro Diurno'!J154</f>
        <v>4210.3100000000004</v>
      </c>
      <c r="D8" s="60">
        <v>1</v>
      </c>
      <c r="E8" s="59">
        <f t="shared" si="0"/>
        <v>4210.3100000000004</v>
      </c>
      <c r="F8" s="67">
        <v>2</v>
      </c>
      <c r="G8" s="68">
        <f t="shared" si="1"/>
        <v>8420.6200000000008</v>
      </c>
      <c r="H8" s="73"/>
    </row>
    <row r="9" spans="1:8" ht="24.95" customHeight="1" thickBot="1">
      <c r="A9" s="63">
        <v>7</v>
      </c>
      <c r="B9" s="65" t="s">
        <v>176</v>
      </c>
      <c r="C9" s="61">
        <f>'Porteiro Noturno'!J154</f>
        <v>4387.1099999999997</v>
      </c>
      <c r="D9" s="60">
        <v>1</v>
      </c>
      <c r="E9" s="59">
        <f t="shared" si="0"/>
        <v>4387.1099999999997</v>
      </c>
      <c r="F9" s="67">
        <v>2</v>
      </c>
      <c r="G9" s="68">
        <f t="shared" si="1"/>
        <v>8774.2199999999993</v>
      </c>
      <c r="H9" s="73"/>
    </row>
    <row r="10" spans="1:8" ht="24.95" customHeight="1" thickBot="1">
      <c r="A10" s="189" t="s">
        <v>231</v>
      </c>
      <c r="B10" s="190"/>
      <c r="C10" s="190"/>
      <c r="D10" s="190"/>
      <c r="E10" s="190"/>
      <c r="F10" s="191"/>
      <c r="G10" s="62">
        <f>SUM(G3:G9)</f>
        <v>44160.450000000004</v>
      </c>
      <c r="H10" s="73"/>
    </row>
    <row r="11" spans="1:8" ht="24.95" customHeight="1" thickBot="1">
      <c r="A11" s="183" t="s">
        <v>169</v>
      </c>
      <c r="B11" s="184"/>
      <c r="C11" s="184"/>
      <c r="D11" s="184"/>
      <c r="E11" s="184"/>
      <c r="F11" s="184"/>
      <c r="G11" s="186"/>
      <c r="H11" s="73"/>
    </row>
    <row r="12" spans="1:8" ht="24.95" customHeight="1">
      <c r="A12" s="71" t="s">
        <v>3</v>
      </c>
      <c r="B12" s="187" t="s">
        <v>234</v>
      </c>
      <c r="C12" s="188"/>
      <c r="D12" s="188"/>
      <c r="E12" s="188"/>
      <c r="F12" s="188"/>
      <c r="G12" s="92">
        <f>G10</f>
        <v>44160.450000000004</v>
      </c>
      <c r="H12" s="73"/>
    </row>
    <row r="13" spans="1:8" ht="24.95" customHeight="1">
      <c r="A13" s="72" t="s">
        <v>5</v>
      </c>
      <c r="B13" s="192" t="s">
        <v>170</v>
      </c>
      <c r="C13" s="193"/>
      <c r="D13" s="193"/>
      <c r="E13" s="193"/>
      <c r="F13" s="193"/>
      <c r="G13" s="91">
        <v>12</v>
      </c>
      <c r="H13" s="73"/>
    </row>
    <row r="14" spans="1:8" ht="24.95" customHeight="1" thickBot="1">
      <c r="A14" s="66" t="s">
        <v>9</v>
      </c>
      <c r="B14" s="181" t="s">
        <v>177</v>
      </c>
      <c r="C14" s="182"/>
      <c r="D14" s="182"/>
      <c r="E14" s="182"/>
      <c r="F14" s="182"/>
      <c r="G14" s="93">
        <f>G12*G13</f>
        <v>529925.4</v>
      </c>
      <c r="H14" s="73"/>
    </row>
    <row r="15" spans="1:8">
      <c r="A15" s="73"/>
      <c r="B15" s="73"/>
      <c r="C15" s="73"/>
      <c r="D15" s="73"/>
      <c r="E15" s="73"/>
      <c r="F15" s="73"/>
      <c r="G15" s="73"/>
      <c r="H15" s="73"/>
    </row>
    <row r="16" spans="1:8">
      <c r="A16" s="73"/>
      <c r="B16" s="73"/>
      <c r="C16" s="73"/>
      <c r="D16" s="73"/>
      <c r="E16" s="73"/>
      <c r="F16" s="73"/>
      <c r="G16" s="73"/>
      <c r="H16" s="73"/>
    </row>
    <row r="17" spans="1:8">
      <c r="A17" s="73"/>
      <c r="B17" s="73"/>
      <c r="C17" s="73"/>
      <c r="D17" s="73"/>
      <c r="E17" s="73"/>
      <c r="F17" s="73"/>
      <c r="G17" s="73"/>
      <c r="H17" s="73"/>
    </row>
    <row r="18" spans="1:8" hidden="1">
      <c r="A18" s="73"/>
      <c r="B18" s="73"/>
      <c r="C18" s="73"/>
      <c r="D18" s="73"/>
      <c r="E18" s="73"/>
      <c r="F18" s="73"/>
      <c r="G18" s="73"/>
      <c r="H18" s="73"/>
    </row>
    <row r="19" spans="1:8" hidden="1">
      <c r="A19" s="73"/>
      <c r="B19" s="73"/>
      <c r="C19" s="73"/>
      <c r="D19" s="73"/>
      <c r="E19" s="73"/>
      <c r="F19" s="73"/>
      <c r="G19" s="73"/>
      <c r="H19" s="73"/>
    </row>
    <row r="20" spans="1:8" hidden="1">
      <c r="A20" s="73"/>
      <c r="B20" s="73"/>
      <c r="C20" s="73"/>
      <c r="D20" s="73"/>
      <c r="E20" s="73"/>
      <c r="F20" s="73"/>
      <c r="G20" s="73"/>
      <c r="H20" s="73"/>
    </row>
    <row r="21" spans="1:8" hidden="1">
      <c r="A21" s="73"/>
      <c r="B21" s="73"/>
      <c r="C21" s="73"/>
      <c r="D21" s="73"/>
      <c r="E21" s="73"/>
      <c r="F21" s="73"/>
      <c r="G21" s="73"/>
      <c r="H21" s="73"/>
    </row>
    <row r="22" spans="1:8" hidden="1">
      <c r="A22" s="73"/>
      <c r="B22" s="73"/>
      <c r="C22" s="73"/>
      <c r="D22" s="73"/>
      <c r="E22" s="73"/>
      <c r="F22" s="73"/>
      <c r="G22" s="73"/>
      <c r="H22" s="73"/>
    </row>
    <row r="23" spans="1:8" hidden="1">
      <c r="A23" s="73"/>
      <c r="B23" s="73"/>
      <c r="C23" s="73"/>
      <c r="D23" s="73"/>
      <c r="E23" s="73"/>
      <c r="F23" s="73"/>
      <c r="G23" s="73"/>
      <c r="H23" s="73"/>
    </row>
    <row r="24" spans="1:8" hidden="1">
      <c r="A24" s="73"/>
      <c r="B24" s="73"/>
      <c r="C24" s="73"/>
      <c r="D24" s="73"/>
      <c r="E24" s="73"/>
      <c r="F24" s="73"/>
      <c r="G24" s="73"/>
      <c r="H24" s="73"/>
    </row>
    <row r="25" spans="1:8" hidden="1">
      <c r="A25" s="73"/>
      <c r="B25" s="73"/>
      <c r="C25" s="73"/>
      <c r="D25" s="73"/>
      <c r="E25" s="73"/>
      <c r="F25" s="73"/>
      <c r="G25" s="73"/>
      <c r="H25" s="73"/>
    </row>
    <row r="26" spans="1:8" hidden="1">
      <c r="A26" s="73"/>
      <c r="B26" s="73"/>
      <c r="C26" s="73"/>
      <c r="D26" s="73"/>
      <c r="E26" s="73"/>
      <c r="F26" s="73"/>
      <c r="G26" s="73"/>
      <c r="H26" s="73"/>
    </row>
    <row r="27" spans="1:8" hidden="1">
      <c r="A27" s="73"/>
      <c r="B27" s="73"/>
      <c r="C27" s="73"/>
      <c r="D27" s="73"/>
      <c r="E27" s="73"/>
      <c r="F27" s="73"/>
      <c r="G27" s="73"/>
      <c r="H27" s="73"/>
    </row>
    <row r="28" spans="1:8"/>
    <row r="29" spans="1:8"/>
    <row r="30" spans="1:8"/>
    <row r="31" spans="1:8"/>
    <row r="32" spans="1:8"/>
    <row r="33"/>
    <row r="34"/>
  </sheetData>
  <mergeCells count="6">
    <mergeCell ref="B14:F14"/>
    <mergeCell ref="A1:G1"/>
    <mergeCell ref="A11:G11"/>
    <mergeCell ref="B12:F12"/>
    <mergeCell ref="A10:F10"/>
    <mergeCell ref="B13:F13"/>
  </mergeCells>
  <pageMargins left="0.511811024" right="0.511811024" top="0.78740157499999996" bottom="0.78740157499999996" header="0.31496062000000002" footer="0.31496062000000002"/>
  <pageSetup paperSize="9" scale="6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D9" sqref="D9"/>
    </sheetView>
  </sheetViews>
  <sheetFormatPr defaultRowHeight="15"/>
  <cols>
    <col min="1" max="1" width="50.140625" bestFit="1" customWidth="1"/>
    <col min="2" max="2" width="12.85546875" customWidth="1"/>
    <col min="3" max="3" width="10.85546875" bestFit="1" customWidth="1"/>
    <col min="4" max="4" width="12.7109375" bestFit="1" customWidth="1"/>
    <col min="5" max="5" width="13" customWidth="1"/>
    <col min="7" max="7" width="50.140625" bestFit="1" customWidth="1"/>
    <col min="9" max="9" width="10.85546875" customWidth="1"/>
    <col min="10" max="10" width="14.140625" customWidth="1"/>
    <col min="11" max="11" width="12" bestFit="1" customWidth="1"/>
  </cols>
  <sheetData>
    <row r="1" spans="1:11">
      <c r="A1" s="194" t="s">
        <v>225</v>
      </c>
      <c r="B1" s="195"/>
      <c r="C1" s="195"/>
      <c r="D1" s="195"/>
      <c r="E1" s="196"/>
      <c r="G1" s="194" t="s">
        <v>235</v>
      </c>
      <c r="H1" s="195"/>
      <c r="I1" s="195"/>
      <c r="J1" s="195"/>
      <c r="K1" s="196"/>
    </row>
    <row r="2" spans="1:11">
      <c r="A2" s="79" t="s">
        <v>195</v>
      </c>
      <c r="B2" s="79" t="s">
        <v>181</v>
      </c>
      <c r="C2" s="79" t="s">
        <v>180</v>
      </c>
      <c r="D2" s="79" t="s">
        <v>182</v>
      </c>
      <c r="E2" s="79" t="s">
        <v>183</v>
      </c>
      <c r="G2" s="79" t="s">
        <v>195</v>
      </c>
      <c r="H2" s="79" t="s">
        <v>181</v>
      </c>
      <c r="I2" s="79" t="s">
        <v>180</v>
      </c>
      <c r="J2" s="79" t="s">
        <v>182</v>
      </c>
      <c r="K2" s="79" t="s">
        <v>183</v>
      </c>
    </row>
    <row r="3" spans="1:11" ht="51.75">
      <c r="A3" s="76" t="s">
        <v>194</v>
      </c>
      <c r="B3" s="74" t="s">
        <v>181</v>
      </c>
      <c r="C3" s="74">
        <v>1</v>
      </c>
      <c r="D3" s="78">
        <v>1474.73</v>
      </c>
      <c r="E3" s="74">
        <f>(D3*C3)</f>
        <v>1474.73</v>
      </c>
      <c r="G3" s="76" t="s">
        <v>179</v>
      </c>
      <c r="H3" s="81" t="s">
        <v>184</v>
      </c>
      <c r="I3" s="74">
        <v>1</v>
      </c>
      <c r="J3" s="78">
        <v>162.62</v>
      </c>
      <c r="K3" s="74">
        <f>(J3*I3)</f>
        <v>162.62</v>
      </c>
    </row>
    <row r="4" spans="1:11" ht="39">
      <c r="A4" s="76" t="s">
        <v>196</v>
      </c>
      <c r="B4" s="74" t="s">
        <v>181</v>
      </c>
      <c r="C4" s="74">
        <v>1</v>
      </c>
      <c r="D4" s="78">
        <v>892.67</v>
      </c>
      <c r="E4" s="74">
        <f>(D4*C4)</f>
        <v>892.67</v>
      </c>
      <c r="G4" s="76" t="s">
        <v>230</v>
      </c>
      <c r="H4" s="77" t="s">
        <v>185</v>
      </c>
      <c r="I4" s="77">
        <v>3</v>
      </c>
      <c r="J4" s="78">
        <v>3.7</v>
      </c>
      <c r="K4" s="74">
        <f>(J4*I4)</f>
        <v>11.100000000000001</v>
      </c>
    </row>
    <row r="5" spans="1:11" ht="26.25">
      <c r="A5" s="76" t="s">
        <v>197</v>
      </c>
      <c r="B5" s="74" t="s">
        <v>181</v>
      </c>
      <c r="C5" s="74">
        <v>1</v>
      </c>
      <c r="D5" s="78">
        <v>1779.97</v>
      </c>
      <c r="E5" s="74">
        <f>(D5*C5)</f>
        <v>1779.97</v>
      </c>
      <c r="G5" s="76" t="s">
        <v>186</v>
      </c>
      <c r="H5" s="77" t="s">
        <v>185</v>
      </c>
      <c r="I5" s="77">
        <v>3</v>
      </c>
      <c r="J5" s="78">
        <v>3.49</v>
      </c>
      <c r="K5" s="74">
        <f>(J5*I5)</f>
        <v>10.47</v>
      </c>
    </row>
    <row r="6" spans="1:11" ht="39">
      <c r="A6" s="76" t="s">
        <v>229</v>
      </c>
      <c r="B6" s="81" t="s">
        <v>237</v>
      </c>
      <c r="C6" s="82" t="s">
        <v>236</v>
      </c>
      <c r="D6" s="78">
        <v>1820.63</v>
      </c>
      <c r="E6" s="78">
        <f>D6/9</f>
        <v>202.29222222222222</v>
      </c>
      <c r="G6" s="87" t="s">
        <v>192</v>
      </c>
      <c r="H6" s="77" t="s">
        <v>193</v>
      </c>
      <c r="I6" s="77">
        <v>1</v>
      </c>
      <c r="J6" s="78">
        <v>11.77</v>
      </c>
      <c r="K6" s="74">
        <f>(I6*J6)</f>
        <v>11.77</v>
      </c>
    </row>
    <row r="7" spans="1:11">
      <c r="A7" s="198" t="s">
        <v>242</v>
      </c>
      <c r="B7" s="199"/>
      <c r="C7" s="199"/>
      <c r="D7" s="200"/>
      <c r="E7" s="83">
        <f>SUM(E3:E6)</f>
        <v>4349.6622222222222</v>
      </c>
      <c r="G7" s="76" t="s">
        <v>187</v>
      </c>
      <c r="H7" s="77" t="s">
        <v>181</v>
      </c>
      <c r="I7" s="77">
        <v>1</v>
      </c>
      <c r="J7" s="78">
        <v>20.89</v>
      </c>
      <c r="K7" s="74">
        <f t="shared" ref="K7:K11" si="0">(I7*J7)</f>
        <v>20.89</v>
      </c>
    </row>
    <row r="8" spans="1:11">
      <c r="A8" s="198" t="s">
        <v>243</v>
      </c>
      <c r="B8" s="199"/>
      <c r="C8" s="199"/>
      <c r="D8" s="200"/>
      <c r="E8" s="84">
        <f>(E7/60)</f>
        <v>72.494370370370376</v>
      </c>
      <c r="G8" s="76" t="s">
        <v>188</v>
      </c>
      <c r="H8" s="77" t="s">
        <v>181</v>
      </c>
      <c r="I8" s="77">
        <v>4</v>
      </c>
      <c r="J8" s="78">
        <v>0.99</v>
      </c>
      <c r="K8" s="74">
        <f t="shared" si="0"/>
        <v>3.96</v>
      </c>
    </row>
    <row r="9" spans="1:11">
      <c r="A9" s="76" t="s">
        <v>198</v>
      </c>
      <c r="B9" s="74" t="s">
        <v>199</v>
      </c>
      <c r="C9" s="74">
        <v>220</v>
      </c>
      <c r="D9" s="78">
        <v>7.16</v>
      </c>
      <c r="E9" s="74">
        <f>(C9*D9)</f>
        <v>1575.2</v>
      </c>
      <c r="G9" s="76" t="s">
        <v>189</v>
      </c>
      <c r="H9" s="77" t="s">
        <v>181</v>
      </c>
      <c r="I9" s="77">
        <v>2</v>
      </c>
      <c r="J9" s="78">
        <v>5.55</v>
      </c>
      <c r="K9" s="74">
        <f t="shared" si="0"/>
        <v>11.1</v>
      </c>
    </row>
    <row r="10" spans="1:11">
      <c r="A10" s="198" t="s">
        <v>244</v>
      </c>
      <c r="B10" s="199"/>
      <c r="C10" s="199"/>
      <c r="D10" s="200"/>
      <c r="E10" s="83">
        <f>E9</f>
        <v>1575.2</v>
      </c>
      <c r="G10" s="76" t="s">
        <v>190</v>
      </c>
      <c r="H10" s="77" t="s">
        <v>181</v>
      </c>
      <c r="I10" s="77">
        <v>1</v>
      </c>
      <c r="J10" s="78">
        <v>3.89</v>
      </c>
      <c r="K10" s="74">
        <f t="shared" si="0"/>
        <v>3.89</v>
      </c>
    </row>
    <row r="11" spans="1:11">
      <c r="A11" s="198" t="s">
        <v>245</v>
      </c>
      <c r="B11" s="199"/>
      <c r="C11" s="199"/>
      <c r="D11" s="200"/>
      <c r="E11" s="84">
        <f>E10/12</f>
        <v>131.26666666666668</v>
      </c>
      <c r="G11" s="76" t="s">
        <v>191</v>
      </c>
      <c r="H11" s="77" t="s">
        <v>181</v>
      </c>
      <c r="I11" s="77">
        <v>4</v>
      </c>
      <c r="J11" s="78">
        <v>13.77</v>
      </c>
      <c r="K11" s="74">
        <f t="shared" si="0"/>
        <v>55.08</v>
      </c>
    </row>
    <row r="12" spans="1:11">
      <c r="A12" s="198" t="s">
        <v>241</v>
      </c>
      <c r="B12" s="199"/>
      <c r="C12" s="199"/>
      <c r="D12" s="200"/>
      <c r="E12" s="86">
        <f>E8+E11</f>
        <v>203.76103703703706</v>
      </c>
      <c r="G12" s="198" t="s">
        <v>238</v>
      </c>
      <c r="H12" s="199"/>
      <c r="I12" s="199"/>
      <c r="J12" s="200"/>
      <c r="K12" s="83">
        <f>SUM(K3:K6)</f>
        <v>195.96</v>
      </c>
    </row>
    <row r="13" spans="1:11">
      <c r="G13" s="198" t="s">
        <v>239</v>
      </c>
      <c r="H13" s="199"/>
      <c r="I13" s="199"/>
      <c r="J13" s="200"/>
      <c r="K13" s="84">
        <f>(K12/12)</f>
        <v>16.330000000000002</v>
      </c>
    </row>
    <row r="14" spans="1:11">
      <c r="G14" s="197" t="s">
        <v>241</v>
      </c>
      <c r="H14" s="197"/>
      <c r="I14" s="197"/>
      <c r="J14" s="197"/>
      <c r="K14" s="86">
        <f>K13</f>
        <v>16.330000000000002</v>
      </c>
    </row>
    <row r="15" spans="1:11">
      <c r="E15" s="85"/>
    </row>
    <row r="17" spans="4:4">
      <c r="D17" s="88"/>
    </row>
  </sheetData>
  <mergeCells count="10">
    <mergeCell ref="A1:E1"/>
    <mergeCell ref="G1:K1"/>
    <mergeCell ref="G14:J14"/>
    <mergeCell ref="G12:J12"/>
    <mergeCell ref="G13:J13"/>
    <mergeCell ref="A7:D7"/>
    <mergeCell ref="A8:D8"/>
    <mergeCell ref="A10:D10"/>
    <mergeCell ref="A11:D11"/>
    <mergeCell ref="A12:D1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A2" sqref="A2"/>
    </sheetView>
  </sheetViews>
  <sheetFormatPr defaultRowHeight="15"/>
  <cols>
    <col min="1" max="1" width="35.85546875" customWidth="1"/>
    <col min="3" max="3" width="11.28515625" customWidth="1"/>
    <col min="4" max="4" width="14.5703125" customWidth="1"/>
    <col min="5" max="5" width="12.140625" customWidth="1"/>
    <col min="7" max="7" width="48.85546875" customWidth="1"/>
    <col min="9" max="9" width="11.42578125" customWidth="1"/>
    <col min="10" max="10" width="13.42578125" customWidth="1"/>
    <col min="11" max="11" width="12.42578125" customWidth="1"/>
  </cols>
  <sheetData>
    <row r="1" spans="1:11">
      <c r="A1" s="194" t="s">
        <v>260</v>
      </c>
      <c r="B1" s="195"/>
      <c r="C1" s="195"/>
      <c r="D1" s="195"/>
      <c r="E1" s="196"/>
      <c r="G1" s="194" t="s">
        <v>250</v>
      </c>
      <c r="H1" s="195"/>
      <c r="I1" s="195"/>
      <c r="J1" s="195"/>
      <c r="K1" s="196"/>
    </row>
    <row r="2" spans="1:11">
      <c r="A2" s="79" t="s">
        <v>200</v>
      </c>
      <c r="B2" s="79" t="s">
        <v>181</v>
      </c>
      <c r="C2" s="79" t="s">
        <v>180</v>
      </c>
      <c r="D2" s="79" t="s">
        <v>182</v>
      </c>
      <c r="E2" s="79" t="s">
        <v>183</v>
      </c>
      <c r="G2" s="79" t="s">
        <v>195</v>
      </c>
      <c r="H2" s="79" t="s">
        <v>181</v>
      </c>
      <c r="I2" s="79" t="s">
        <v>180</v>
      </c>
      <c r="J2" s="79" t="s">
        <v>182</v>
      </c>
      <c r="K2" s="79" t="s">
        <v>183</v>
      </c>
    </row>
    <row r="3" spans="1:11" ht="51.75">
      <c r="A3" s="76" t="s">
        <v>201</v>
      </c>
      <c r="B3" s="74" t="s">
        <v>181</v>
      </c>
      <c r="C3" s="74">
        <v>1</v>
      </c>
      <c r="D3" s="78">
        <v>642.61</v>
      </c>
      <c r="E3" s="74">
        <f>(D3*C3)</f>
        <v>642.61</v>
      </c>
      <c r="G3" s="76" t="s">
        <v>259</v>
      </c>
      <c r="H3" s="81" t="s">
        <v>184</v>
      </c>
      <c r="I3" s="74">
        <v>1</v>
      </c>
      <c r="J3" s="78">
        <v>514.6</v>
      </c>
      <c r="K3" s="74">
        <f>(J3*I3)</f>
        <v>514.6</v>
      </c>
    </row>
    <row r="4" spans="1:11" ht="64.5">
      <c r="A4" s="76" t="s">
        <v>202</v>
      </c>
      <c r="B4" s="74" t="s">
        <v>181</v>
      </c>
      <c r="C4" s="74">
        <v>1</v>
      </c>
      <c r="D4" s="78">
        <v>1196.1600000000001</v>
      </c>
      <c r="E4" s="74">
        <f>(C4*D4)</f>
        <v>1196.1600000000001</v>
      </c>
      <c r="G4" s="76" t="s">
        <v>230</v>
      </c>
      <c r="H4" s="74" t="s">
        <v>185</v>
      </c>
      <c r="I4" s="74">
        <v>3</v>
      </c>
      <c r="J4" s="78">
        <v>3.7</v>
      </c>
      <c r="K4" s="74">
        <f>(J4*I4)</f>
        <v>11.100000000000001</v>
      </c>
    </row>
    <row r="5" spans="1:11" ht="51.75">
      <c r="A5" s="76" t="s">
        <v>229</v>
      </c>
      <c r="B5" s="81" t="s">
        <v>237</v>
      </c>
      <c r="C5" s="82" t="s">
        <v>240</v>
      </c>
      <c r="D5" s="78">
        <v>1820.63</v>
      </c>
      <c r="E5" s="78">
        <f>D5/9*4</f>
        <v>809.16888888888889</v>
      </c>
      <c r="G5" s="76" t="s">
        <v>186</v>
      </c>
      <c r="H5" s="74" t="s">
        <v>185</v>
      </c>
      <c r="I5" s="74">
        <v>3</v>
      </c>
      <c r="J5" s="78">
        <v>3.49</v>
      </c>
      <c r="K5" s="74">
        <f>(J5*I5)</f>
        <v>10.47</v>
      </c>
    </row>
    <row r="6" spans="1:11">
      <c r="A6" s="197" t="s">
        <v>203</v>
      </c>
      <c r="B6" s="197"/>
      <c r="C6" s="197"/>
      <c r="D6" s="197"/>
      <c r="E6" s="83">
        <f>SUM(E3:E5)</f>
        <v>2647.9388888888889</v>
      </c>
      <c r="G6" s="87" t="s">
        <v>192</v>
      </c>
      <c r="H6" s="77" t="s">
        <v>193</v>
      </c>
      <c r="I6" s="77">
        <v>1</v>
      </c>
      <c r="J6" s="78">
        <v>11.77</v>
      </c>
      <c r="K6" s="74">
        <f>(I6*J6)</f>
        <v>11.77</v>
      </c>
    </row>
    <row r="7" spans="1:11">
      <c r="A7" s="198" t="s">
        <v>246</v>
      </c>
      <c r="B7" s="199"/>
      <c r="C7" s="199"/>
      <c r="D7" s="200"/>
      <c r="E7" s="84">
        <f>(E6/60)</f>
        <v>44.132314814814812</v>
      </c>
      <c r="G7" s="76" t="s">
        <v>187</v>
      </c>
      <c r="H7" s="77" t="s">
        <v>181</v>
      </c>
      <c r="I7" s="77">
        <v>1</v>
      </c>
      <c r="J7" s="78">
        <v>20.89</v>
      </c>
      <c r="K7" s="74">
        <f t="shared" ref="K7:K11" si="0">(I7*J7)</f>
        <v>20.89</v>
      </c>
    </row>
    <row r="8" spans="1:11">
      <c r="A8" s="197" t="s">
        <v>241</v>
      </c>
      <c r="B8" s="197"/>
      <c r="C8" s="197"/>
      <c r="D8" s="197"/>
      <c r="E8" s="86">
        <f>E7/4</f>
        <v>11.033078703703703</v>
      </c>
      <c r="G8" s="76" t="s">
        <v>188</v>
      </c>
      <c r="H8" s="77" t="s">
        <v>181</v>
      </c>
      <c r="I8" s="77">
        <v>4</v>
      </c>
      <c r="J8" s="78">
        <v>0.99</v>
      </c>
      <c r="K8" s="74">
        <f t="shared" si="0"/>
        <v>3.96</v>
      </c>
    </row>
    <row r="9" spans="1:11">
      <c r="G9" s="76" t="s">
        <v>189</v>
      </c>
      <c r="H9" s="77" t="s">
        <v>181</v>
      </c>
      <c r="I9" s="77">
        <v>2</v>
      </c>
      <c r="J9" s="78">
        <v>5.55</v>
      </c>
      <c r="K9" s="74">
        <f t="shared" si="0"/>
        <v>11.1</v>
      </c>
    </row>
    <row r="10" spans="1:11">
      <c r="G10" s="76" t="s">
        <v>190</v>
      </c>
      <c r="H10" s="77" t="s">
        <v>181</v>
      </c>
      <c r="I10" s="77">
        <v>1</v>
      </c>
      <c r="J10" s="78">
        <v>3.89</v>
      </c>
      <c r="K10" s="74">
        <f t="shared" si="0"/>
        <v>3.89</v>
      </c>
    </row>
    <row r="11" spans="1:11">
      <c r="G11" s="76" t="s">
        <v>191</v>
      </c>
      <c r="H11" s="77" t="s">
        <v>181</v>
      </c>
      <c r="I11" s="77">
        <v>4</v>
      </c>
      <c r="J11" s="78">
        <v>13.77</v>
      </c>
      <c r="K11" s="74">
        <f t="shared" si="0"/>
        <v>55.08</v>
      </c>
    </row>
    <row r="12" spans="1:11">
      <c r="G12" s="198" t="s">
        <v>252</v>
      </c>
      <c r="H12" s="199"/>
      <c r="I12" s="199"/>
      <c r="J12" s="200"/>
      <c r="K12" s="83">
        <f>SUM(K3:K11)</f>
        <v>642.86000000000013</v>
      </c>
    </row>
    <row r="13" spans="1:11">
      <c r="G13" s="198" t="s">
        <v>253</v>
      </c>
      <c r="H13" s="199"/>
      <c r="I13" s="199"/>
      <c r="J13" s="200"/>
      <c r="K13" s="84">
        <f>(K12/12)</f>
        <v>53.57166666666668</v>
      </c>
    </row>
    <row r="14" spans="1:11">
      <c r="G14" s="197" t="s">
        <v>241</v>
      </c>
      <c r="H14" s="197"/>
      <c r="I14" s="197"/>
      <c r="J14" s="197"/>
      <c r="K14" s="86">
        <f>K13</f>
        <v>53.57166666666668</v>
      </c>
    </row>
    <row r="16" spans="1:11">
      <c r="G16" s="194" t="s">
        <v>251</v>
      </c>
      <c r="H16" s="195"/>
      <c r="I16" s="195"/>
      <c r="J16" s="195"/>
      <c r="K16" s="196"/>
    </row>
    <row r="17" spans="7:11">
      <c r="G17" s="79" t="s">
        <v>195</v>
      </c>
      <c r="H17" s="79" t="s">
        <v>181</v>
      </c>
      <c r="I17" s="79" t="s">
        <v>180</v>
      </c>
      <c r="J17" s="79" t="s">
        <v>182</v>
      </c>
      <c r="K17" s="79" t="s">
        <v>183</v>
      </c>
    </row>
    <row r="18" spans="7:11" ht="26.25">
      <c r="G18" s="76" t="s">
        <v>232</v>
      </c>
      <c r="H18" s="81" t="s">
        <v>184</v>
      </c>
      <c r="I18" s="74">
        <v>3</v>
      </c>
      <c r="J18" s="78">
        <v>890.6</v>
      </c>
      <c r="K18" s="74">
        <f>(J18*I18)</f>
        <v>2671.8</v>
      </c>
    </row>
    <row r="19" spans="7:11">
      <c r="G19" s="76" t="s">
        <v>230</v>
      </c>
      <c r="H19" s="77" t="s">
        <v>185</v>
      </c>
      <c r="I19" s="77">
        <v>9</v>
      </c>
      <c r="J19" s="78">
        <v>3.7</v>
      </c>
      <c r="K19" s="74">
        <f>(J19*I19)</f>
        <v>33.300000000000004</v>
      </c>
    </row>
    <row r="20" spans="7:11">
      <c r="G20" s="76" t="s">
        <v>186</v>
      </c>
      <c r="H20" s="77" t="s">
        <v>185</v>
      </c>
      <c r="I20" s="77">
        <v>9</v>
      </c>
      <c r="J20" s="78">
        <v>3.49</v>
      </c>
      <c r="K20" s="74">
        <f>(J20*I20)</f>
        <v>31.410000000000004</v>
      </c>
    </row>
    <row r="21" spans="7:11">
      <c r="G21" s="87" t="s">
        <v>192</v>
      </c>
      <c r="H21" s="77" t="s">
        <v>193</v>
      </c>
      <c r="I21" s="77">
        <v>3</v>
      </c>
      <c r="J21" s="78">
        <v>11.77</v>
      </c>
      <c r="K21" s="74">
        <f>(I21*J21)</f>
        <v>35.31</v>
      </c>
    </row>
    <row r="22" spans="7:11">
      <c r="G22" s="76" t="s">
        <v>187</v>
      </c>
      <c r="H22" s="77" t="s">
        <v>181</v>
      </c>
      <c r="I22" s="77">
        <v>3</v>
      </c>
      <c r="J22" s="78">
        <v>20.89</v>
      </c>
      <c r="K22" s="74">
        <f t="shared" ref="K22:K26" si="1">(I22*J22)</f>
        <v>62.67</v>
      </c>
    </row>
    <row r="23" spans="7:11">
      <c r="G23" s="76" t="s">
        <v>188</v>
      </c>
      <c r="H23" s="77" t="s">
        <v>181</v>
      </c>
      <c r="I23" s="77">
        <v>12</v>
      </c>
      <c r="J23" s="78">
        <v>0.99</v>
      </c>
      <c r="K23" s="74">
        <f t="shared" si="1"/>
        <v>11.879999999999999</v>
      </c>
    </row>
    <row r="24" spans="7:11">
      <c r="G24" s="76" t="s">
        <v>189</v>
      </c>
      <c r="H24" s="77" t="s">
        <v>181</v>
      </c>
      <c r="I24" s="77">
        <v>6</v>
      </c>
      <c r="J24" s="78">
        <v>5.55</v>
      </c>
      <c r="K24" s="74">
        <f t="shared" si="1"/>
        <v>33.299999999999997</v>
      </c>
    </row>
    <row r="25" spans="7:11">
      <c r="G25" s="76" t="s">
        <v>190</v>
      </c>
      <c r="H25" s="77" t="s">
        <v>181</v>
      </c>
      <c r="I25" s="77">
        <v>3</v>
      </c>
      <c r="J25" s="78">
        <v>3.89</v>
      </c>
      <c r="K25" s="74">
        <f t="shared" si="1"/>
        <v>11.67</v>
      </c>
    </row>
    <row r="26" spans="7:11">
      <c r="G26" s="76" t="s">
        <v>191</v>
      </c>
      <c r="H26" s="77" t="s">
        <v>181</v>
      </c>
      <c r="I26" s="77">
        <v>12</v>
      </c>
      <c r="J26" s="78">
        <v>13.77</v>
      </c>
      <c r="K26" s="74">
        <f t="shared" si="1"/>
        <v>165.24</v>
      </c>
    </row>
    <row r="27" spans="7:11">
      <c r="G27" s="198" t="s">
        <v>254</v>
      </c>
      <c r="H27" s="199"/>
      <c r="I27" s="199"/>
      <c r="J27" s="200"/>
      <c r="K27" s="83">
        <f>SUM(K18:K26)</f>
        <v>3056.5800000000008</v>
      </c>
    </row>
    <row r="28" spans="7:11">
      <c r="G28" s="198" t="s">
        <v>255</v>
      </c>
      <c r="H28" s="199"/>
      <c r="I28" s="199"/>
      <c r="J28" s="200"/>
      <c r="K28" s="84">
        <f>(K27/12)</f>
        <v>254.71500000000006</v>
      </c>
    </row>
    <row r="29" spans="7:11">
      <c r="G29" s="197" t="s">
        <v>241</v>
      </c>
      <c r="H29" s="197"/>
      <c r="I29" s="197"/>
      <c r="J29" s="197"/>
      <c r="K29" s="86">
        <f>K28/3</f>
        <v>84.905000000000015</v>
      </c>
    </row>
  </sheetData>
  <mergeCells count="12">
    <mergeCell ref="A1:E1"/>
    <mergeCell ref="A6:D6"/>
    <mergeCell ref="A7:D7"/>
    <mergeCell ref="A8:D8"/>
    <mergeCell ref="G1:K1"/>
    <mergeCell ref="G16:K16"/>
    <mergeCell ref="G27:J27"/>
    <mergeCell ref="G28:J28"/>
    <mergeCell ref="G29:J29"/>
    <mergeCell ref="G12:J12"/>
    <mergeCell ref="G13:J13"/>
    <mergeCell ref="G14:J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7"/>
  <sheetViews>
    <sheetView workbookViewId="0">
      <selection activeCell="E6" sqref="E6"/>
    </sheetView>
  </sheetViews>
  <sheetFormatPr defaultRowHeight="15"/>
  <cols>
    <col min="1" max="1" width="33.5703125" customWidth="1"/>
    <col min="3" max="3" width="11.28515625" customWidth="1"/>
    <col min="4" max="4" width="14.5703125" customWidth="1"/>
    <col min="5" max="5" width="12.140625" customWidth="1"/>
    <col min="7" max="7" width="52.42578125" customWidth="1"/>
    <col min="8" max="8" width="8.85546875" customWidth="1"/>
    <col min="9" max="9" width="10.42578125" customWidth="1"/>
    <col min="10" max="10" width="13.42578125" customWidth="1"/>
    <col min="11" max="11" width="14" customWidth="1"/>
  </cols>
  <sheetData>
    <row r="1" spans="1:11">
      <c r="A1" s="194" t="s">
        <v>249</v>
      </c>
      <c r="B1" s="195"/>
      <c r="C1" s="195"/>
      <c r="D1" s="195"/>
      <c r="E1" s="196"/>
      <c r="G1" s="194" t="s">
        <v>256</v>
      </c>
      <c r="H1" s="195"/>
      <c r="I1" s="195"/>
      <c r="J1" s="195"/>
      <c r="K1" s="196"/>
    </row>
    <row r="2" spans="1:11">
      <c r="A2" s="79" t="s">
        <v>200</v>
      </c>
      <c r="B2" s="79" t="s">
        <v>181</v>
      </c>
      <c r="C2" s="79" t="s">
        <v>180</v>
      </c>
      <c r="D2" s="79" t="s">
        <v>182</v>
      </c>
      <c r="E2" s="79" t="s">
        <v>183</v>
      </c>
      <c r="G2" s="79" t="s">
        <v>195</v>
      </c>
      <c r="H2" s="79" t="s">
        <v>181</v>
      </c>
      <c r="I2" s="79" t="s">
        <v>180</v>
      </c>
      <c r="J2" s="79" t="s">
        <v>182</v>
      </c>
      <c r="K2" s="79" t="s">
        <v>183</v>
      </c>
    </row>
    <row r="3" spans="1:11" ht="51.75">
      <c r="A3" s="76" t="s">
        <v>229</v>
      </c>
      <c r="B3" s="81" t="s">
        <v>237</v>
      </c>
      <c r="C3" s="82" t="s">
        <v>240</v>
      </c>
      <c r="D3" s="78">
        <v>1820.63</v>
      </c>
      <c r="E3" s="78">
        <f>D3/9*4</f>
        <v>809.16888888888889</v>
      </c>
      <c r="G3" s="76" t="s">
        <v>191</v>
      </c>
      <c r="H3" s="74" t="s">
        <v>181</v>
      </c>
      <c r="I3" s="74">
        <v>8</v>
      </c>
      <c r="J3" s="78">
        <v>13.77</v>
      </c>
      <c r="K3" s="74">
        <f t="shared" ref="K3" si="0">(I3*J3)</f>
        <v>110.16</v>
      </c>
    </row>
    <row r="4" spans="1:11">
      <c r="A4" s="197" t="s">
        <v>248</v>
      </c>
      <c r="B4" s="197"/>
      <c r="C4" s="197"/>
      <c r="D4" s="197"/>
      <c r="E4" s="83">
        <f>SUM(E3:E3)</f>
        <v>809.16888888888889</v>
      </c>
      <c r="G4" s="198" t="s">
        <v>257</v>
      </c>
      <c r="H4" s="199"/>
      <c r="I4" s="199"/>
      <c r="J4" s="200"/>
      <c r="K4" s="83">
        <f>SUM(K3:K3)</f>
        <v>110.16</v>
      </c>
    </row>
    <row r="5" spans="1:11">
      <c r="A5" s="198" t="s">
        <v>247</v>
      </c>
      <c r="B5" s="199"/>
      <c r="C5" s="199"/>
      <c r="D5" s="200"/>
      <c r="E5" s="84">
        <f>(E4/60)</f>
        <v>13.486148148148148</v>
      </c>
      <c r="G5" s="198" t="s">
        <v>258</v>
      </c>
      <c r="H5" s="199"/>
      <c r="I5" s="199"/>
      <c r="J5" s="200"/>
      <c r="K5" s="84">
        <f>(K4/12)</f>
        <v>9.18</v>
      </c>
    </row>
    <row r="6" spans="1:11">
      <c r="A6" s="197" t="s">
        <v>241</v>
      </c>
      <c r="B6" s="197"/>
      <c r="C6" s="197"/>
      <c r="D6" s="197"/>
      <c r="E6" s="86">
        <f>E5/4</f>
        <v>3.371537037037037</v>
      </c>
      <c r="G6" s="197" t="s">
        <v>241</v>
      </c>
      <c r="H6" s="197"/>
      <c r="I6" s="197"/>
      <c r="J6" s="197"/>
      <c r="K6" s="86">
        <f>K5/4</f>
        <v>2.2949999999999999</v>
      </c>
    </row>
    <row r="7" spans="1:11">
      <c r="E7" s="85"/>
    </row>
  </sheetData>
  <mergeCells count="8">
    <mergeCell ref="G5:J5"/>
    <mergeCell ref="G6:J6"/>
    <mergeCell ref="A1:E1"/>
    <mergeCell ref="A4:D4"/>
    <mergeCell ref="A5:D5"/>
    <mergeCell ref="A6:D6"/>
    <mergeCell ref="G1:K1"/>
    <mergeCell ref="G4:J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K14" sqref="K14"/>
    </sheetView>
  </sheetViews>
  <sheetFormatPr defaultRowHeight="15"/>
  <cols>
    <col min="1" max="1" width="15.7109375" customWidth="1"/>
    <col min="3" max="3" width="11.28515625" customWidth="1"/>
    <col min="4" max="4" width="13" customWidth="1"/>
    <col min="5" max="5" width="11.7109375" customWidth="1"/>
    <col min="7" max="7" width="16" customWidth="1"/>
    <col min="9" max="9" width="11.140625" customWidth="1"/>
    <col min="10" max="10" width="13.28515625" customWidth="1"/>
    <col min="11" max="11" width="11.42578125" customWidth="1"/>
    <col min="13" max="13" width="16" customWidth="1"/>
    <col min="15" max="15" width="10.85546875" customWidth="1"/>
    <col min="16" max="16" width="13.7109375" customWidth="1"/>
    <col min="17" max="17" width="11.5703125" customWidth="1"/>
  </cols>
  <sheetData>
    <row r="1" spans="1:17">
      <c r="A1" s="201" t="s">
        <v>204</v>
      </c>
      <c r="B1" s="201"/>
      <c r="C1" s="201"/>
      <c r="D1" s="201"/>
      <c r="E1" s="201"/>
      <c r="G1" s="194" t="s">
        <v>217</v>
      </c>
      <c r="H1" s="195"/>
      <c r="I1" s="195"/>
      <c r="J1" s="195"/>
      <c r="K1" s="196"/>
      <c r="M1" s="201" t="s">
        <v>223</v>
      </c>
      <c r="N1" s="201"/>
      <c r="O1" s="201"/>
      <c r="P1" s="201"/>
      <c r="Q1" s="201"/>
    </row>
    <row r="2" spans="1:17">
      <c r="A2" s="79" t="s">
        <v>205</v>
      </c>
      <c r="B2" s="79" t="s">
        <v>181</v>
      </c>
      <c r="C2" s="79" t="s">
        <v>180</v>
      </c>
      <c r="D2" s="79" t="s">
        <v>182</v>
      </c>
      <c r="E2" s="79" t="s">
        <v>206</v>
      </c>
      <c r="G2" s="79" t="s">
        <v>218</v>
      </c>
      <c r="H2" s="79" t="s">
        <v>181</v>
      </c>
      <c r="I2" s="79" t="s">
        <v>180</v>
      </c>
      <c r="J2" s="79" t="s">
        <v>182</v>
      </c>
      <c r="K2" s="79" t="s">
        <v>206</v>
      </c>
      <c r="M2" s="79" t="s">
        <v>218</v>
      </c>
      <c r="N2" s="79" t="s">
        <v>181</v>
      </c>
      <c r="O2" s="79" t="s">
        <v>180</v>
      </c>
      <c r="P2" s="79" t="s">
        <v>182</v>
      </c>
      <c r="Q2" s="79" t="s">
        <v>206</v>
      </c>
    </row>
    <row r="3" spans="1:17" ht="26.25">
      <c r="A3" s="76" t="s">
        <v>207</v>
      </c>
      <c r="B3" s="74" t="s">
        <v>181</v>
      </c>
      <c r="C3" s="74">
        <v>2</v>
      </c>
      <c r="D3" s="78">
        <v>44.9</v>
      </c>
      <c r="E3" s="75">
        <f t="shared" ref="E3:E10" si="0">(C3*D3)</f>
        <v>89.8</v>
      </c>
      <c r="G3" s="76" t="s">
        <v>207</v>
      </c>
      <c r="H3" s="74" t="s">
        <v>181</v>
      </c>
      <c r="I3" s="74">
        <v>2</v>
      </c>
      <c r="J3" s="78">
        <v>49.9</v>
      </c>
      <c r="K3" s="75">
        <f t="shared" ref="K3:K12" si="1">(I3*J3)</f>
        <v>99.8</v>
      </c>
      <c r="M3" s="76" t="s">
        <v>207</v>
      </c>
      <c r="N3" s="74" t="s">
        <v>181</v>
      </c>
      <c r="O3" s="74">
        <v>2</v>
      </c>
      <c r="P3" s="78">
        <v>49.9</v>
      </c>
      <c r="Q3" s="75">
        <f t="shared" ref="Q3:Q13" si="2">(O3*P3)</f>
        <v>99.8</v>
      </c>
    </row>
    <row r="4" spans="1:17" ht="26.25">
      <c r="A4" s="76" t="s">
        <v>208</v>
      </c>
      <c r="B4" s="75" t="s">
        <v>181</v>
      </c>
      <c r="C4" s="74">
        <v>2</v>
      </c>
      <c r="D4" s="78">
        <v>44.9</v>
      </c>
      <c r="E4" s="75">
        <f t="shared" si="0"/>
        <v>89.8</v>
      </c>
      <c r="G4" s="76" t="s">
        <v>208</v>
      </c>
      <c r="H4" s="75" t="s">
        <v>181</v>
      </c>
      <c r="I4" s="74">
        <v>2</v>
      </c>
      <c r="J4" s="78">
        <v>49.9</v>
      </c>
      <c r="K4" s="75">
        <f t="shared" si="1"/>
        <v>99.8</v>
      </c>
      <c r="M4" s="76" t="s">
        <v>208</v>
      </c>
      <c r="N4" s="75" t="s">
        <v>181</v>
      </c>
      <c r="O4" s="74">
        <v>2</v>
      </c>
      <c r="P4" s="78">
        <v>49.9</v>
      </c>
      <c r="Q4" s="75">
        <f t="shared" si="2"/>
        <v>99.8</v>
      </c>
    </row>
    <row r="5" spans="1:17" ht="26.25">
      <c r="A5" s="76" t="s">
        <v>209</v>
      </c>
      <c r="B5" s="75" t="s">
        <v>181</v>
      </c>
      <c r="C5" s="74">
        <v>3</v>
      </c>
      <c r="D5" s="78">
        <v>29.9</v>
      </c>
      <c r="E5" s="75">
        <f t="shared" si="0"/>
        <v>89.699999999999989</v>
      </c>
      <c r="G5" s="76" t="s">
        <v>209</v>
      </c>
      <c r="H5" s="75" t="s">
        <v>181</v>
      </c>
      <c r="I5" s="74">
        <v>3</v>
      </c>
      <c r="J5" s="78">
        <v>16.899999999999999</v>
      </c>
      <c r="K5" s="75">
        <f t="shared" si="1"/>
        <v>50.699999999999996</v>
      </c>
      <c r="M5" s="76" t="s">
        <v>209</v>
      </c>
      <c r="N5" s="75" t="s">
        <v>181</v>
      </c>
      <c r="O5" s="74">
        <v>3</v>
      </c>
      <c r="P5" s="78">
        <v>16.899999999999999</v>
      </c>
      <c r="Q5" s="75">
        <f t="shared" si="2"/>
        <v>50.699999999999996</v>
      </c>
    </row>
    <row r="6" spans="1:17" ht="26.25">
      <c r="A6" s="76" t="s">
        <v>210</v>
      </c>
      <c r="B6" s="75" t="s">
        <v>181</v>
      </c>
      <c r="C6" s="74">
        <v>2</v>
      </c>
      <c r="D6" s="78">
        <v>86.73</v>
      </c>
      <c r="E6" s="75">
        <f t="shared" si="0"/>
        <v>173.46</v>
      </c>
      <c r="G6" s="76" t="s">
        <v>210</v>
      </c>
      <c r="H6" s="75" t="s">
        <v>181</v>
      </c>
      <c r="I6" s="74">
        <v>2</v>
      </c>
      <c r="J6" s="78">
        <v>86.73</v>
      </c>
      <c r="K6" s="75">
        <f t="shared" si="1"/>
        <v>173.46</v>
      </c>
      <c r="M6" s="76" t="s">
        <v>210</v>
      </c>
      <c r="N6" s="75" t="s">
        <v>181</v>
      </c>
      <c r="O6" s="74">
        <v>2</v>
      </c>
      <c r="P6" s="78">
        <v>83.73</v>
      </c>
      <c r="Q6" s="75">
        <f t="shared" si="2"/>
        <v>167.46</v>
      </c>
    </row>
    <row r="7" spans="1:17" ht="26.25">
      <c r="A7" s="76" t="s">
        <v>211</v>
      </c>
      <c r="B7" s="75" t="s">
        <v>181</v>
      </c>
      <c r="C7" s="74">
        <v>1</v>
      </c>
      <c r="D7" s="78">
        <v>117.21</v>
      </c>
      <c r="E7" s="75">
        <f t="shared" si="0"/>
        <v>117.21</v>
      </c>
      <c r="G7" s="76" t="s">
        <v>211</v>
      </c>
      <c r="H7" s="75" t="s">
        <v>181</v>
      </c>
      <c r="I7" s="74">
        <v>1</v>
      </c>
      <c r="J7" s="78">
        <v>117.21</v>
      </c>
      <c r="K7" s="75">
        <f t="shared" si="1"/>
        <v>117.21</v>
      </c>
      <c r="M7" s="76" t="s">
        <v>211</v>
      </c>
      <c r="N7" s="75" t="s">
        <v>181</v>
      </c>
      <c r="O7" s="74">
        <v>1</v>
      </c>
      <c r="P7" s="78">
        <v>117.21</v>
      </c>
      <c r="Q7" s="75">
        <f t="shared" si="2"/>
        <v>117.21</v>
      </c>
    </row>
    <row r="8" spans="1:17" ht="26.25">
      <c r="A8" s="76" t="s">
        <v>212</v>
      </c>
      <c r="B8" s="75" t="s">
        <v>181</v>
      </c>
      <c r="C8" s="74">
        <v>1</v>
      </c>
      <c r="D8" s="78">
        <v>19.899999999999999</v>
      </c>
      <c r="E8" s="75">
        <f t="shared" si="0"/>
        <v>19.899999999999999</v>
      </c>
      <c r="G8" s="76" t="s">
        <v>212</v>
      </c>
      <c r="H8" s="75" t="s">
        <v>181</v>
      </c>
      <c r="I8" s="74">
        <v>1</v>
      </c>
      <c r="J8" s="78">
        <v>19.899999999999999</v>
      </c>
      <c r="K8" s="75">
        <f t="shared" si="1"/>
        <v>19.899999999999999</v>
      </c>
      <c r="M8" s="76" t="s">
        <v>212</v>
      </c>
      <c r="N8" s="75" t="s">
        <v>181</v>
      </c>
      <c r="O8" s="74">
        <v>1</v>
      </c>
      <c r="P8" s="78">
        <v>19.899999999999999</v>
      </c>
      <c r="Q8" s="75">
        <f t="shared" si="2"/>
        <v>19.899999999999999</v>
      </c>
    </row>
    <row r="9" spans="1:17">
      <c r="A9" s="76" t="s">
        <v>213</v>
      </c>
      <c r="B9" s="74" t="s">
        <v>185</v>
      </c>
      <c r="C9" s="74">
        <v>2</v>
      </c>
      <c r="D9" s="78">
        <v>29.9</v>
      </c>
      <c r="E9" s="75">
        <f t="shared" si="0"/>
        <v>59.8</v>
      </c>
      <c r="G9" s="76" t="s">
        <v>213</v>
      </c>
      <c r="H9" s="74" t="s">
        <v>185</v>
      </c>
      <c r="I9" s="74">
        <v>2</v>
      </c>
      <c r="J9" s="78">
        <v>29.9</v>
      </c>
      <c r="K9" s="75">
        <f t="shared" si="1"/>
        <v>59.8</v>
      </c>
      <c r="M9" s="76" t="s">
        <v>213</v>
      </c>
      <c r="N9" s="74" t="s">
        <v>185</v>
      </c>
      <c r="O9" s="74">
        <v>2</v>
      </c>
      <c r="P9" s="78">
        <v>29.9</v>
      </c>
      <c r="Q9" s="75">
        <f t="shared" si="2"/>
        <v>59.8</v>
      </c>
    </row>
    <row r="10" spans="1:17" ht="51.75">
      <c r="A10" s="76" t="s">
        <v>214</v>
      </c>
      <c r="B10" s="74" t="s">
        <v>181</v>
      </c>
      <c r="C10" s="74">
        <v>1</v>
      </c>
      <c r="D10" s="78">
        <v>42.99</v>
      </c>
      <c r="E10" s="75">
        <f t="shared" si="0"/>
        <v>42.99</v>
      </c>
      <c r="G10" s="76" t="s">
        <v>219</v>
      </c>
      <c r="H10" s="74" t="s">
        <v>185</v>
      </c>
      <c r="I10" s="74">
        <v>1</v>
      </c>
      <c r="J10" s="78">
        <v>29.36</v>
      </c>
      <c r="K10" s="75">
        <f t="shared" si="1"/>
        <v>29.36</v>
      </c>
      <c r="M10" s="76" t="s">
        <v>219</v>
      </c>
      <c r="N10" s="74" t="s">
        <v>185</v>
      </c>
      <c r="O10" s="74">
        <v>1</v>
      </c>
      <c r="P10" s="78">
        <v>29.36</v>
      </c>
      <c r="Q10" s="75">
        <f t="shared" si="2"/>
        <v>29.36</v>
      </c>
    </row>
    <row r="11" spans="1:17">
      <c r="A11" s="197" t="s">
        <v>215</v>
      </c>
      <c r="B11" s="197"/>
      <c r="C11" s="197"/>
      <c r="D11" s="197"/>
      <c r="E11" s="89">
        <f>SUM(E3:E10)</f>
        <v>682.66</v>
      </c>
      <c r="G11" s="76" t="s">
        <v>220</v>
      </c>
      <c r="H11" s="74" t="s">
        <v>181</v>
      </c>
      <c r="I11" s="74">
        <v>1</v>
      </c>
      <c r="J11" s="78">
        <v>69.900000000000006</v>
      </c>
      <c r="K11" s="75">
        <f t="shared" si="1"/>
        <v>69.900000000000006</v>
      </c>
      <c r="M11" s="76" t="s">
        <v>220</v>
      </c>
      <c r="N11" s="74" t="s">
        <v>181</v>
      </c>
      <c r="O11" s="74">
        <v>1</v>
      </c>
      <c r="P11" s="78">
        <v>69.900000000000006</v>
      </c>
      <c r="Q11" s="75">
        <f t="shared" si="2"/>
        <v>69.900000000000006</v>
      </c>
    </row>
    <row r="12" spans="1:17">
      <c r="A12" s="197" t="s">
        <v>216</v>
      </c>
      <c r="B12" s="197"/>
      <c r="C12" s="197"/>
      <c r="D12" s="197"/>
      <c r="E12" s="90">
        <f>(E11/12)</f>
        <v>56.888333333333328</v>
      </c>
      <c r="G12" s="76" t="s">
        <v>221</v>
      </c>
      <c r="H12" s="74" t="s">
        <v>181</v>
      </c>
      <c r="I12" s="74">
        <v>1</v>
      </c>
      <c r="J12" s="78">
        <v>27.78</v>
      </c>
      <c r="K12" s="75">
        <f t="shared" si="1"/>
        <v>27.78</v>
      </c>
      <c r="M12" s="76" t="s">
        <v>224</v>
      </c>
      <c r="N12" s="74" t="s">
        <v>181</v>
      </c>
      <c r="O12" s="74">
        <v>1</v>
      </c>
      <c r="P12" s="78">
        <v>10.1</v>
      </c>
      <c r="Q12" s="75">
        <f t="shared" si="2"/>
        <v>10.1</v>
      </c>
    </row>
    <row r="13" spans="1:17">
      <c r="G13" s="197" t="s">
        <v>228</v>
      </c>
      <c r="H13" s="197"/>
      <c r="I13" s="197"/>
      <c r="J13" s="197"/>
      <c r="K13" s="89">
        <f>SUM(K3:K11)</f>
        <v>719.93</v>
      </c>
      <c r="M13" s="76" t="s">
        <v>221</v>
      </c>
      <c r="N13" s="74" t="s">
        <v>181</v>
      </c>
      <c r="O13" s="74">
        <v>1</v>
      </c>
      <c r="P13" s="78">
        <v>27.78</v>
      </c>
      <c r="Q13" s="75">
        <f t="shared" si="2"/>
        <v>27.78</v>
      </c>
    </row>
    <row r="14" spans="1:17">
      <c r="G14" s="197" t="s">
        <v>222</v>
      </c>
      <c r="H14" s="197"/>
      <c r="I14" s="197"/>
      <c r="J14" s="197"/>
      <c r="K14" s="90">
        <f>(K13/12)</f>
        <v>59.994166666666665</v>
      </c>
      <c r="M14" s="197" t="s">
        <v>226</v>
      </c>
      <c r="N14" s="197"/>
      <c r="O14" s="197"/>
      <c r="P14" s="197"/>
      <c r="Q14" s="89">
        <f>SUM(Q3:Q13)</f>
        <v>751.81</v>
      </c>
    </row>
    <row r="15" spans="1:17">
      <c r="M15" s="197" t="s">
        <v>227</v>
      </c>
      <c r="N15" s="197"/>
      <c r="O15" s="197"/>
      <c r="P15" s="197"/>
      <c r="Q15" s="90">
        <f>(Q14/12)</f>
        <v>62.650833333333331</v>
      </c>
    </row>
  </sheetData>
  <mergeCells count="9">
    <mergeCell ref="M1:Q1"/>
    <mergeCell ref="M14:P14"/>
    <mergeCell ref="M15:P15"/>
    <mergeCell ref="A1:E1"/>
    <mergeCell ref="A11:D11"/>
    <mergeCell ref="A12:D12"/>
    <mergeCell ref="G1:K1"/>
    <mergeCell ref="G13:J13"/>
    <mergeCell ref="G14:J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</vt:i4>
      </vt:variant>
    </vt:vector>
  </HeadingPairs>
  <TitlesOfParts>
    <vt:vector size="15" baseType="lpstr">
      <vt:lpstr>MODELO</vt:lpstr>
      <vt:lpstr>Eletricista</vt:lpstr>
      <vt:lpstr>Pedreiro</vt:lpstr>
      <vt:lpstr>Servente</vt:lpstr>
      <vt:lpstr>Auxiliar de Manutenção</vt:lpstr>
      <vt:lpstr>Jardineiro</vt:lpstr>
      <vt:lpstr>Porteiro Diurno</vt:lpstr>
      <vt:lpstr>Porteiro Noturno</vt:lpstr>
      <vt:lpstr>RESUMO</vt:lpstr>
      <vt:lpstr>Eq.EPI-Jard</vt:lpstr>
      <vt:lpstr>Eq.EPI-MP</vt:lpstr>
      <vt:lpstr>Eq.EPI-Port</vt:lpstr>
      <vt:lpstr>Uniformes</vt:lpstr>
      <vt:lpstr>'Eq.EPI-Port'!__DdeLink__53222_669315008</vt:lpstr>
      <vt:lpstr>RESUMO!Area_de_impressao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2022-07-12T21:13:02Z</dcterms:modified>
</cp:coreProperties>
</file>